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cdf.sharepoint.com/sites/SESAP/Shared Documents/General/SESAP/TRANSPARÊNCIA/OBRAS/5. Processo 2856_25/"/>
    </mc:Choice>
  </mc:AlternateContent>
  <xr:revisionPtr revIDLastSave="3" documentId="8_{16764C99-FC5D-4140-A12C-74D1F96361B9}" xr6:coauthVersionLast="47" xr6:coauthVersionMax="47" xr10:uidLastSave="{A2F2B2EE-72FB-4A3F-BFED-BDA7A15A768E}"/>
  <bookViews>
    <workbookView xWindow="28680" yWindow="-120" windowWidth="29040" windowHeight="15720" xr2:uid="{0F5E39C9-ABE8-4C62-A1F1-D6276D5DC586}"/>
  </bookViews>
  <sheets>
    <sheet name="BM 3º MEDIÇÃO 01-02 A 28-02-26" sheetId="1" r:id="rId1"/>
    <sheet name="MEMÓRIA 3º MEDIÇÃO" sheetId="2" r:id="rId2"/>
  </sheets>
  <externalReferences>
    <externalReference r:id="rId3"/>
  </externalReferences>
  <definedNames>
    <definedName name="AGENTE_D_VAZIA">#REF!</definedName>
    <definedName name="_xlnm.Print_Area" localSheetId="0">'BM 3º MEDIÇÃO 01-02 A 28-02-26'!$A$1:$AN$50</definedName>
    <definedName name="_xlnm.Print_Area" localSheetId="1">'MEMÓRIA 3º MEDIÇÃO'!$A$1:$K$107</definedName>
    <definedName name="asdasd">#REF!</definedName>
    <definedName name="asdasdas">#REF!</definedName>
    <definedName name="CPMF">#REF!</definedName>
    <definedName name="dedede">#REF!</definedName>
    <definedName name="dia">#REF!</definedName>
    <definedName name="Encarregado_Novo">#REF!</definedName>
    <definedName name="Escala_Oficial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2">#REF!</definedName>
    <definedName name="Excel_BuiltIn_Print_Area_3_1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6">#REF!</definedName>
    <definedName name="Excel_BuiltIn_Print_Area_6_1">#REF!</definedName>
    <definedName name="Excel_BuiltIn_Print_Area_7_1">#REF!</definedName>
    <definedName name="Excel_BuiltIn_Print_Area_8_1">#REF!</definedName>
    <definedName name="Excel_BuiltIn_Print_Titles_1">"$#REF!.$A$1:$AMJ$5"</definedName>
    <definedName name="Excel_BuiltIn_Print_Titles_1_1">#REF!</definedName>
    <definedName name="Excel_BuiltIn_Print_Titles_1_1_1">#REF!</definedName>
    <definedName name="fdkewfjnewfnew">#REF!</definedName>
    <definedName name="jyfrmujyrm">#REF!</definedName>
    <definedName name="lista1">#REF!</definedName>
    <definedName name="lista2">#REF!</definedName>
    <definedName name="nome">#REF!</definedName>
    <definedName name="PPPAs">#REF!</definedName>
    <definedName name="res">#REF!</definedName>
    <definedName name="resumo">#REF!</definedName>
    <definedName name="sad">#REF!</definedName>
    <definedName name="sdsd">#REF!</definedName>
    <definedName name="Telefonista_VAZIA">#REF!</definedName>
    <definedName name="Tes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B103" i="2"/>
  <c r="A103" i="2"/>
  <c r="B98" i="2"/>
  <c r="A98" i="2"/>
  <c r="B93" i="2"/>
  <c r="A93" i="2"/>
  <c r="E95" i="2"/>
  <c r="E96" i="2" s="1"/>
  <c r="B88" i="2"/>
  <c r="A88" i="2"/>
  <c r="D90" i="2"/>
  <c r="D91" i="2" s="1"/>
  <c r="D85" i="2"/>
  <c r="D86" i="2" s="1"/>
  <c r="B83" i="2"/>
  <c r="A83" i="2"/>
  <c r="B78" i="2"/>
  <c r="A78" i="2"/>
  <c r="K81" i="2"/>
  <c r="K80" i="2"/>
  <c r="B72" i="2"/>
  <c r="A72" i="2"/>
  <c r="E74" i="2"/>
  <c r="E75" i="2" s="1"/>
  <c r="D69" i="2"/>
  <c r="D68" i="2"/>
  <c r="B66" i="2"/>
  <c r="A66" i="2"/>
  <c r="B61" i="2"/>
  <c r="A61" i="2"/>
  <c r="E63" i="2"/>
  <c r="E64" i="2" s="1"/>
  <c r="E55" i="2"/>
  <c r="B53" i="2"/>
  <c r="A53" i="2"/>
  <c r="E58" i="2"/>
  <c r="E57" i="2"/>
  <c r="E56" i="2"/>
  <c r="B42" i="2"/>
  <c r="A42" i="2"/>
  <c r="D50" i="2"/>
  <c r="D49" i="2"/>
  <c r="D48" i="2"/>
  <c r="D47" i="2"/>
  <c r="D46" i="2"/>
  <c r="D45" i="2"/>
  <c r="D44" i="2"/>
  <c r="K82" i="2" l="1"/>
  <c r="D70" i="2"/>
  <c r="E59" i="2"/>
  <c r="D51" i="2"/>
  <c r="B31" i="2" l="1"/>
  <c r="A31" i="2"/>
  <c r="D39" i="2"/>
  <c r="D38" i="2"/>
  <c r="D37" i="2"/>
  <c r="D36" i="2"/>
  <c r="D35" i="2"/>
  <c r="D34" i="2"/>
  <c r="D33" i="2"/>
  <c r="D40" i="2" l="1"/>
  <c r="B26" i="2"/>
  <c r="A26" i="2"/>
  <c r="D28" i="2"/>
  <c r="D29" i="2" s="1"/>
  <c r="B21" i="2"/>
  <c r="A21" i="2"/>
  <c r="D23" i="2"/>
  <c r="D24" i="2" s="1"/>
  <c r="D18" i="2"/>
  <c r="D19" i="2" s="1"/>
  <c r="B16" i="2"/>
  <c r="A16" i="2"/>
  <c r="B11" i="2"/>
  <c r="A11" i="2"/>
  <c r="D13" i="2"/>
  <c r="D14" i="2" s="1"/>
  <c r="B6" i="2"/>
  <c r="A6" i="2"/>
  <c r="D105" i="2"/>
  <c r="D106" i="2" s="1"/>
  <c r="D100" i="2"/>
  <c r="D101" i="2" s="1"/>
  <c r="D8" i="2"/>
  <c r="D9" i="2" s="1"/>
  <c r="AJ46" i="1"/>
  <c r="AJ45" i="1"/>
  <c r="AJ43" i="1"/>
  <c r="AJ41" i="1"/>
  <c r="AJ40" i="1"/>
  <c r="AJ38" i="1"/>
  <c r="AJ37" i="1"/>
  <c r="AJ36" i="1"/>
  <c r="AJ35" i="1"/>
  <c r="AJ34" i="1"/>
  <c r="AJ33" i="1"/>
  <c r="AJ32" i="1"/>
  <c r="AJ31" i="1"/>
  <c r="AJ30" i="1"/>
  <c r="AJ28" i="1"/>
  <c r="AJ27" i="1"/>
  <c r="AJ26" i="1"/>
  <c r="AJ25" i="1"/>
  <c r="AJ24" i="1"/>
  <c r="AJ22" i="1"/>
  <c r="AJ21" i="1"/>
  <c r="AJ20" i="1"/>
  <c r="AJ18" i="1"/>
  <c r="AJ17" i="1"/>
  <c r="AJ16" i="1"/>
  <c r="AJ15" i="1"/>
  <c r="AJ14" i="1"/>
  <c r="AJ13" i="1"/>
  <c r="AJ12" i="1"/>
  <c r="AJ11" i="1"/>
  <c r="AJ10" i="1"/>
  <c r="AH46" i="1"/>
  <c r="AH45" i="1"/>
  <c r="AH43" i="1"/>
  <c r="AH41" i="1"/>
  <c r="AH40" i="1"/>
  <c r="AH38" i="1"/>
  <c r="AH37" i="1"/>
  <c r="AH36" i="1"/>
  <c r="AH35" i="1"/>
  <c r="AH34" i="1"/>
  <c r="AH33" i="1"/>
  <c r="AH32" i="1"/>
  <c r="AH31" i="1"/>
  <c r="AH30" i="1"/>
  <c r="AH28" i="1"/>
  <c r="AH27" i="1"/>
  <c r="AH26" i="1"/>
  <c r="AH25" i="1"/>
  <c r="AH24" i="1"/>
  <c r="AH22" i="1"/>
  <c r="AH21" i="1"/>
  <c r="AH20" i="1"/>
  <c r="AH18" i="1"/>
  <c r="AH17" i="1"/>
  <c r="AH16" i="1"/>
  <c r="AH15" i="1"/>
  <c r="AH14" i="1"/>
  <c r="AH13" i="1"/>
  <c r="AH12" i="1"/>
  <c r="AH11" i="1"/>
  <c r="AH10" i="1"/>
  <c r="AH7" i="1"/>
  <c r="AH44" i="1"/>
  <c r="AH42" i="1"/>
  <c r="AH29" i="1"/>
  <c r="AH23" i="1"/>
  <c r="AH19" i="1"/>
  <c r="AH9" i="1"/>
  <c r="AH8" i="1"/>
  <c r="P48" i="1" l="1"/>
  <c r="L37" i="1" s="1"/>
  <c r="AC46" i="1"/>
  <c r="AA46" i="1"/>
  <c r="X46" i="1"/>
  <c r="AE46" i="1" s="1"/>
  <c r="AL46" i="1" s="1"/>
  <c r="V46" i="1"/>
  <c r="J46" i="1"/>
  <c r="K46" i="1" s="1"/>
  <c r="AE45" i="1"/>
  <c r="AL45" i="1" s="1"/>
  <c r="AC45" i="1"/>
  <c r="AA45" i="1"/>
  <c r="X45" i="1"/>
  <c r="V45" i="1"/>
  <c r="J45" i="1"/>
  <c r="K45" i="1" s="1"/>
  <c r="AA44" i="1"/>
  <c r="AE43" i="1"/>
  <c r="AL43" i="1" s="1"/>
  <c r="AA43" i="1"/>
  <c r="X43" i="1"/>
  <c r="V43" i="1"/>
  <c r="J43" i="1"/>
  <c r="K43" i="1" s="1"/>
  <c r="AA42" i="1"/>
  <c r="AC41" i="1"/>
  <c r="AA41" i="1"/>
  <c r="X41" i="1"/>
  <c r="AE41" i="1" s="1"/>
  <c r="AL41" i="1" s="1"/>
  <c r="V41" i="1"/>
  <c r="K41" i="1"/>
  <c r="J41" i="1"/>
  <c r="AC40" i="1"/>
  <c r="AA40" i="1"/>
  <c r="X40" i="1"/>
  <c r="AE40" i="1" s="1"/>
  <c r="AL40" i="1" s="1"/>
  <c r="V40" i="1"/>
  <c r="J40" i="1"/>
  <c r="K40" i="1" s="1"/>
  <c r="V39" i="1"/>
  <c r="W39" i="1" s="1"/>
  <c r="AC38" i="1"/>
  <c r="AA38" i="1"/>
  <c r="X38" i="1"/>
  <c r="AE38" i="1" s="1"/>
  <c r="AL38" i="1" s="1"/>
  <c r="V38" i="1"/>
  <c r="J38" i="1"/>
  <c r="K38" i="1" s="1"/>
  <c r="AC37" i="1"/>
  <c r="AA37" i="1"/>
  <c r="X37" i="1"/>
  <c r="AE37" i="1" s="1"/>
  <c r="AL37" i="1" s="1"/>
  <c r="V37" i="1"/>
  <c r="J37" i="1"/>
  <c r="K37" i="1" s="1"/>
  <c r="AC36" i="1"/>
  <c r="AA36" i="1"/>
  <c r="X36" i="1"/>
  <c r="AE36" i="1" s="1"/>
  <c r="AL36" i="1" s="1"/>
  <c r="V36" i="1"/>
  <c r="J36" i="1"/>
  <c r="K36" i="1" s="1"/>
  <c r="AC35" i="1"/>
  <c r="AA35" i="1"/>
  <c r="X35" i="1"/>
  <c r="AE35" i="1" s="1"/>
  <c r="AL35" i="1" s="1"/>
  <c r="V35" i="1"/>
  <c r="J35" i="1"/>
  <c r="K35" i="1" s="1"/>
  <c r="AA34" i="1"/>
  <c r="X34" i="1"/>
  <c r="AE34" i="1" s="1"/>
  <c r="AL34" i="1" s="1"/>
  <c r="V34" i="1"/>
  <c r="J34" i="1"/>
  <c r="K34" i="1" s="1"/>
  <c r="AA33" i="1"/>
  <c r="X33" i="1"/>
  <c r="AE33" i="1" s="1"/>
  <c r="AL33" i="1" s="1"/>
  <c r="V33" i="1"/>
  <c r="J33" i="1"/>
  <c r="K33" i="1" s="1"/>
  <c r="AC32" i="1"/>
  <c r="AA32" i="1"/>
  <c r="X32" i="1"/>
  <c r="AE32" i="1" s="1"/>
  <c r="AL32" i="1" s="1"/>
  <c r="V32" i="1"/>
  <c r="J32" i="1"/>
  <c r="K32" i="1" s="1"/>
  <c r="AC31" i="1"/>
  <c r="AA31" i="1"/>
  <c r="X31" i="1"/>
  <c r="AE31" i="1" s="1"/>
  <c r="AL31" i="1" s="1"/>
  <c r="V31" i="1"/>
  <c r="J31" i="1"/>
  <c r="K31" i="1" s="1"/>
  <c r="AC30" i="1"/>
  <c r="AA30" i="1"/>
  <c r="X30" i="1"/>
  <c r="AE30" i="1" s="1"/>
  <c r="AL30" i="1" s="1"/>
  <c r="V30" i="1"/>
  <c r="J30" i="1"/>
  <c r="K30" i="1" s="1"/>
  <c r="AA29" i="1"/>
  <c r="AA28" i="1"/>
  <c r="X28" i="1"/>
  <c r="AE28" i="1" s="1"/>
  <c r="AL28" i="1" s="1"/>
  <c r="V28" i="1"/>
  <c r="J28" i="1"/>
  <c r="K28" i="1" s="1"/>
  <c r="AA27" i="1"/>
  <c r="X27" i="1"/>
  <c r="AE27" i="1" s="1"/>
  <c r="AL27" i="1" s="1"/>
  <c r="V27" i="1"/>
  <c r="J27" i="1"/>
  <c r="K27" i="1" s="1"/>
  <c r="AA26" i="1"/>
  <c r="X26" i="1"/>
  <c r="AE26" i="1" s="1"/>
  <c r="AL26" i="1" s="1"/>
  <c r="V26" i="1"/>
  <c r="J26" i="1"/>
  <c r="K26" i="1" s="1"/>
  <c r="AA25" i="1"/>
  <c r="X25" i="1"/>
  <c r="AE25" i="1" s="1"/>
  <c r="AL25" i="1" s="1"/>
  <c r="V25" i="1"/>
  <c r="J25" i="1"/>
  <c r="K25" i="1" s="1"/>
  <c r="AE24" i="1"/>
  <c r="AL24" i="1" s="1"/>
  <c r="AA24" i="1"/>
  <c r="X24" i="1"/>
  <c r="V24" i="1"/>
  <c r="J24" i="1"/>
  <c r="K24" i="1" s="1"/>
  <c r="AA23" i="1"/>
  <c r="AE22" i="1"/>
  <c r="AL22" i="1" s="1"/>
  <c r="AA22" i="1"/>
  <c r="X22" i="1"/>
  <c r="V22" i="1"/>
  <c r="J22" i="1"/>
  <c r="K22" i="1" s="1"/>
  <c r="AA21" i="1"/>
  <c r="X21" i="1"/>
  <c r="AE21" i="1" s="1"/>
  <c r="AL21" i="1" s="1"/>
  <c r="V21" i="1"/>
  <c r="J21" i="1"/>
  <c r="K21" i="1" s="1"/>
  <c r="AA20" i="1"/>
  <c r="X20" i="1"/>
  <c r="AE20" i="1" s="1"/>
  <c r="AL20" i="1" s="1"/>
  <c r="V20" i="1"/>
  <c r="J20" i="1"/>
  <c r="K20" i="1" s="1"/>
  <c r="AA19" i="1"/>
  <c r="AA18" i="1"/>
  <c r="X18" i="1"/>
  <c r="AE18" i="1" s="1"/>
  <c r="AL18" i="1" s="1"/>
  <c r="V18" i="1"/>
  <c r="J18" i="1"/>
  <c r="K18" i="1" s="1"/>
  <c r="AA17" i="1"/>
  <c r="X17" i="1"/>
  <c r="AE17" i="1" s="1"/>
  <c r="AL17" i="1" s="1"/>
  <c r="V17" i="1"/>
  <c r="J17" i="1"/>
  <c r="K17" i="1" s="1"/>
  <c r="AE16" i="1"/>
  <c r="AL16" i="1" s="1"/>
  <c r="AC16" i="1"/>
  <c r="AA16" i="1"/>
  <c r="X16" i="1"/>
  <c r="V16" i="1"/>
  <c r="J16" i="1"/>
  <c r="K16" i="1" s="1"/>
  <c r="AA15" i="1"/>
  <c r="X15" i="1"/>
  <c r="AE15" i="1" s="1"/>
  <c r="AL15" i="1" s="1"/>
  <c r="V15" i="1"/>
  <c r="J15" i="1"/>
  <c r="K15" i="1" s="1"/>
  <c r="AC14" i="1"/>
  <c r="AA14" i="1"/>
  <c r="X14" i="1"/>
  <c r="AE14" i="1" s="1"/>
  <c r="AL14" i="1" s="1"/>
  <c r="V14" i="1"/>
  <c r="J14" i="1"/>
  <c r="K14" i="1" s="1"/>
  <c r="AC13" i="1"/>
  <c r="AA13" i="1"/>
  <c r="X13" i="1"/>
  <c r="AE13" i="1" s="1"/>
  <c r="AL13" i="1" s="1"/>
  <c r="V13" i="1"/>
  <c r="J13" i="1"/>
  <c r="K13" i="1" s="1"/>
  <c r="AA12" i="1"/>
  <c r="X12" i="1"/>
  <c r="AE12" i="1" s="1"/>
  <c r="AL12" i="1" s="1"/>
  <c r="V12" i="1"/>
  <c r="J12" i="1"/>
  <c r="K12" i="1" s="1"/>
  <c r="AA11" i="1"/>
  <c r="X11" i="1"/>
  <c r="AE11" i="1" s="1"/>
  <c r="AL11" i="1" s="1"/>
  <c r="V11" i="1"/>
  <c r="J11" i="1"/>
  <c r="K11" i="1" s="1"/>
  <c r="AE10" i="1"/>
  <c r="AL10" i="1" s="1"/>
  <c r="AA10" i="1"/>
  <c r="X10" i="1"/>
  <c r="V10" i="1"/>
  <c r="J10" i="1"/>
  <c r="K10" i="1" s="1"/>
  <c r="AA9" i="1"/>
  <c r="AA8" i="1"/>
  <c r="AA7" i="1"/>
  <c r="X7" i="1"/>
  <c r="AE7" i="1" s="1"/>
  <c r="AL7" i="1" s="1"/>
  <c r="J7" i="1"/>
  <c r="K7" i="1" s="1"/>
  <c r="N37" i="1" l="1"/>
  <c r="M35" i="1"/>
  <c r="M28" i="1"/>
  <c r="AC28" i="1" s="1"/>
  <c r="N18" i="1"/>
  <c r="L26" i="1"/>
  <c r="N28" i="1"/>
  <c r="L35" i="1"/>
  <c r="M10" i="1"/>
  <c r="AC10" i="1" s="1"/>
  <c r="L16" i="1"/>
  <c r="M26" i="1"/>
  <c r="AC26" i="1" s="1"/>
  <c r="N10" i="1"/>
  <c r="M13" i="1"/>
  <c r="M16" i="1"/>
  <c r="N22" i="1"/>
  <c r="N26" i="1"/>
  <c r="L32" i="1"/>
  <c r="N35" i="1"/>
  <c r="L7" i="1"/>
  <c r="M7" i="1"/>
  <c r="N12" i="1"/>
  <c r="M18" i="1"/>
  <c r="AC18" i="1" s="1"/>
  <c r="M37" i="1"/>
  <c r="O37" i="1" s="1"/>
  <c r="P37" i="1" s="1"/>
  <c r="L10" i="1"/>
  <c r="N13" i="1"/>
  <c r="N16" i="1"/>
  <c r="M32" i="1"/>
  <c r="N32" i="1"/>
  <c r="L41" i="1"/>
  <c r="M41" i="1"/>
  <c r="L45" i="1"/>
  <c r="L20" i="1"/>
  <c r="L30" i="1"/>
  <c r="N41" i="1"/>
  <c r="M45" i="1"/>
  <c r="L38" i="1"/>
  <c r="N45" i="1"/>
  <c r="M30" i="1"/>
  <c r="L11" i="1"/>
  <c r="N20" i="1"/>
  <c r="M38" i="1"/>
  <c r="M11" i="1"/>
  <c r="AC11" i="1" s="1"/>
  <c r="L27" i="1"/>
  <c r="N38" i="1"/>
  <c r="M27" i="1"/>
  <c r="AC27" i="1" s="1"/>
  <c r="M20" i="1"/>
  <c r="AC20" i="1" s="1"/>
  <c r="N30" i="1"/>
  <c r="N24" i="1"/>
  <c r="L36" i="1"/>
  <c r="N11" i="1"/>
  <c r="M36" i="1"/>
  <c r="L17" i="1"/>
  <c r="N27" i="1"/>
  <c r="N36" i="1"/>
  <c r="M17" i="1"/>
  <c r="AC17" i="1" s="1"/>
  <c r="L43" i="1"/>
  <c r="N46" i="1"/>
  <c r="L12" i="1"/>
  <c r="M15" i="1"/>
  <c r="AC15" i="1" s="1"/>
  <c r="M21" i="1"/>
  <c r="AC21" i="1" s="1"/>
  <c r="L25" i="1"/>
  <c r="M31" i="1"/>
  <c r="L34" i="1"/>
  <c r="N17" i="1"/>
  <c r="N7" i="1"/>
  <c r="L15" i="1"/>
  <c r="L21" i="1"/>
  <c r="L31" i="1"/>
  <c r="M43" i="1"/>
  <c r="AC43" i="1" s="1"/>
  <c r="M12" i="1"/>
  <c r="AC12" i="1" s="1"/>
  <c r="N15" i="1"/>
  <c r="N21" i="1"/>
  <c r="N31" i="1"/>
  <c r="L40" i="1"/>
  <c r="N43" i="1"/>
  <c r="N40" i="1"/>
  <c r="L18" i="1"/>
  <c r="L28" i="1"/>
  <c r="Q47" i="1"/>
  <c r="M46" i="1"/>
  <c r="N33" i="1"/>
  <c r="M24" i="1"/>
  <c r="AC24" i="1" s="1"/>
  <c r="M22" i="1"/>
  <c r="AC22" i="1" s="1"/>
  <c r="L13" i="1"/>
  <c r="L46" i="1"/>
  <c r="M33" i="1"/>
  <c r="AC33" i="1" s="1"/>
  <c r="L24" i="1"/>
  <c r="L22" i="1"/>
  <c r="N14" i="1"/>
  <c r="N34" i="1"/>
  <c r="L33" i="1"/>
  <c r="N25" i="1"/>
  <c r="M14" i="1"/>
  <c r="M34" i="1"/>
  <c r="AC34" i="1" s="1"/>
  <c r="M25" i="1"/>
  <c r="AC25" i="1" s="1"/>
  <c r="L14" i="1"/>
  <c r="M40" i="1"/>
  <c r="O40" i="1" l="1"/>
  <c r="O28" i="1"/>
  <c r="AK28" i="1" s="1"/>
  <c r="O32" i="1"/>
  <c r="O12" i="1"/>
  <c r="P12" i="1" s="1"/>
  <c r="AK12" i="1" s="1"/>
  <c r="O31" i="1"/>
  <c r="P31" i="1" s="1"/>
  <c r="AK31" i="1" s="1"/>
  <c r="AK37" i="1"/>
  <c r="AD37" i="1"/>
  <c r="W37" i="1"/>
  <c r="Y37" i="1"/>
  <c r="AF37" i="1" s="1"/>
  <c r="Y31" i="1"/>
  <c r="O7" i="1"/>
  <c r="P7" i="1" s="1"/>
  <c r="W31" i="1"/>
  <c r="P40" i="1"/>
  <c r="Y40" i="1" s="1"/>
  <c r="AK40" i="1"/>
  <c r="O16" i="1"/>
  <c r="O20" i="1"/>
  <c r="P20" i="1" s="1"/>
  <c r="O35" i="1"/>
  <c r="O22" i="1"/>
  <c r="P22" i="1" s="1"/>
  <c r="AK22" i="1" s="1"/>
  <c r="O21" i="1"/>
  <c r="P21" i="1" s="1"/>
  <c r="O11" i="1"/>
  <c r="P11" i="1" s="1"/>
  <c r="O18" i="1"/>
  <c r="P18" i="1" s="1"/>
  <c r="O26" i="1"/>
  <c r="P26" i="1" s="1"/>
  <c r="O38" i="1"/>
  <c r="P38" i="1" s="1"/>
  <c r="O34" i="1"/>
  <c r="O15" i="1"/>
  <c r="P15" i="1" s="1"/>
  <c r="O43" i="1"/>
  <c r="O17" i="1"/>
  <c r="P17" i="1" s="1"/>
  <c r="O45" i="1"/>
  <c r="P45" i="1" s="1"/>
  <c r="O36" i="1"/>
  <c r="P36" i="1" s="1"/>
  <c r="AD31" i="1"/>
  <c r="P28" i="1"/>
  <c r="P32" i="1"/>
  <c r="AK32" i="1"/>
  <c r="O30" i="1"/>
  <c r="O25" i="1"/>
  <c r="O33" i="1"/>
  <c r="O41" i="1"/>
  <c r="O24" i="1"/>
  <c r="O46" i="1"/>
  <c r="O10" i="1"/>
  <c r="P10" i="1" s="1"/>
  <c r="O13" i="1"/>
  <c r="O27" i="1"/>
  <c r="P27" i="1" s="1"/>
  <c r="W12" i="1"/>
  <c r="AD12" i="1" s="1"/>
  <c r="Y12" i="1"/>
  <c r="AF12" i="1" s="1"/>
  <c r="AM12" i="1" s="1"/>
  <c r="Q48" i="1"/>
  <c r="Q49" i="1" s="1"/>
  <c r="O14" i="1"/>
  <c r="AD40" i="1" l="1"/>
  <c r="AF40" i="1" s="1"/>
  <c r="AM40" i="1" s="1"/>
  <c r="W40" i="1"/>
  <c r="P13" i="1"/>
  <c r="AK13" i="1"/>
  <c r="AK21" i="1"/>
  <c r="W21" i="1"/>
  <c r="AD21" i="1" s="1"/>
  <c r="Y21" i="1"/>
  <c r="AF21" i="1" s="1"/>
  <c r="AK38" i="1"/>
  <c r="W38" i="1"/>
  <c r="Y38" i="1"/>
  <c r="AD38" i="1"/>
  <c r="P35" i="1"/>
  <c r="R35" i="1" s="1"/>
  <c r="AK35" i="1"/>
  <c r="AK26" i="1"/>
  <c r="W26" i="1"/>
  <c r="AD26" i="1" s="1"/>
  <c r="Y26" i="1"/>
  <c r="AF26" i="1" s="1"/>
  <c r="AK20" i="1"/>
  <c r="Y20" i="1"/>
  <c r="W20" i="1"/>
  <c r="AD20" i="1" s="1"/>
  <c r="Y22" i="1"/>
  <c r="AF31" i="1"/>
  <c r="AM31" i="1" s="1"/>
  <c r="P14" i="1"/>
  <c r="W14" i="1" s="1"/>
  <c r="AK14" i="1"/>
  <c r="P46" i="1"/>
  <c r="R46" i="1" s="1"/>
  <c r="AK46" i="1"/>
  <c r="AK18" i="1"/>
  <c r="Y18" i="1"/>
  <c r="W18" i="1"/>
  <c r="AD18" i="1" s="1"/>
  <c r="P16" i="1"/>
  <c r="AK16" i="1"/>
  <c r="AK27" i="1"/>
  <c r="W27" i="1"/>
  <c r="AD27" i="1" s="1"/>
  <c r="Y27" i="1"/>
  <c r="AF27" i="1" s="1"/>
  <c r="AK10" i="1"/>
  <c r="W10" i="1"/>
  <c r="AD10" i="1" s="1"/>
  <c r="Y10" i="1"/>
  <c r="AK11" i="1"/>
  <c r="W11" i="1"/>
  <c r="AD11" i="1" s="1"/>
  <c r="Y11" i="1"/>
  <c r="AF11" i="1" s="1"/>
  <c r="P24" i="1"/>
  <c r="AK24" i="1"/>
  <c r="P41" i="1"/>
  <c r="AK41" i="1"/>
  <c r="P33" i="1"/>
  <c r="R33" i="1" s="1"/>
  <c r="AK33" i="1"/>
  <c r="P25" i="1"/>
  <c r="AK25" i="1"/>
  <c r="P30" i="1"/>
  <c r="AK30" i="1"/>
  <c r="W22" i="1"/>
  <c r="AD22" i="1" s="1"/>
  <c r="W32" i="1"/>
  <c r="Y32" i="1"/>
  <c r="AD32" i="1"/>
  <c r="Y28" i="1"/>
  <c r="W28" i="1"/>
  <c r="AD28" i="1" s="1"/>
  <c r="W7" i="1"/>
  <c r="AD7" i="1" s="1"/>
  <c r="AK7" i="1" s="1"/>
  <c r="Q6" i="1"/>
  <c r="R6" i="1" s="1"/>
  <c r="Y7" i="1"/>
  <c r="AK36" i="1"/>
  <c r="W36" i="1"/>
  <c r="AD36" i="1"/>
  <c r="Y36" i="1"/>
  <c r="AK45" i="1"/>
  <c r="AD45" i="1"/>
  <c r="Y45" i="1"/>
  <c r="AF45" i="1" s="1"/>
  <c r="W45" i="1"/>
  <c r="AK17" i="1"/>
  <c r="W17" i="1"/>
  <c r="AD17" i="1" s="1"/>
  <c r="Y17" i="1"/>
  <c r="AF17" i="1" s="1"/>
  <c r="P43" i="1"/>
  <c r="R43" i="1" s="1"/>
  <c r="AK43" i="1"/>
  <c r="Q19" i="1"/>
  <c r="R19" i="1" s="1"/>
  <c r="Y15" i="1"/>
  <c r="AK15" i="1"/>
  <c r="W15" i="1"/>
  <c r="AD15" i="1" s="1"/>
  <c r="P34" i="1"/>
  <c r="AK34" i="1"/>
  <c r="AM37" i="1"/>
  <c r="R17" i="1"/>
  <c r="R18" i="1"/>
  <c r="R31" i="1"/>
  <c r="R10" i="1"/>
  <c r="R11" i="1"/>
  <c r="R32" i="1"/>
  <c r="R38" i="1"/>
  <c r="R28" i="1"/>
  <c r="R26" i="1"/>
  <c r="R15" i="1"/>
  <c r="R16" i="1"/>
  <c r="R36" i="1"/>
  <c r="R21" i="1"/>
  <c r="R41" i="1"/>
  <c r="R20" i="1"/>
  <c r="R27" i="1"/>
  <c r="R37" i="1"/>
  <c r="R45" i="1"/>
  <c r="R7" i="1"/>
  <c r="R40" i="1"/>
  <c r="R12" i="1"/>
  <c r="R13" i="1"/>
  <c r="R22" i="1"/>
  <c r="R14" i="1" l="1"/>
  <c r="Y14" i="1"/>
  <c r="AD14" i="1"/>
  <c r="AF14" i="1" s="1"/>
  <c r="AM14" i="1" s="1"/>
  <c r="AK48" i="1"/>
  <c r="AF28" i="1"/>
  <c r="Q44" i="1"/>
  <c r="R44" i="1" s="1"/>
  <c r="AF7" i="1"/>
  <c r="AM7" i="1" s="1"/>
  <c r="AF10" i="1"/>
  <c r="AM10" i="1" s="1"/>
  <c r="AF22" i="1"/>
  <c r="AM22" i="1" s="1"/>
  <c r="AF15" i="1"/>
  <c r="AM15" i="1"/>
  <c r="Y35" i="1"/>
  <c r="W35" i="1"/>
  <c r="AD35" i="1"/>
  <c r="Q23" i="1"/>
  <c r="R23" i="1" s="1"/>
  <c r="W24" i="1"/>
  <c r="AD24" i="1" s="1"/>
  <c r="Y24" i="1"/>
  <c r="AF24" i="1" s="1"/>
  <c r="AM24" i="1" s="1"/>
  <c r="AM11" i="1"/>
  <c r="R24" i="1"/>
  <c r="AM26" i="1"/>
  <c r="Q42" i="1"/>
  <c r="R42" i="1" s="1"/>
  <c r="W43" i="1"/>
  <c r="Y43" i="1"/>
  <c r="AD43" i="1"/>
  <c r="AM17" i="1"/>
  <c r="AF38" i="1"/>
  <c r="AM38" i="1" s="1"/>
  <c r="AM45" i="1"/>
  <c r="Y33" i="1"/>
  <c r="W33" i="1"/>
  <c r="AD33" i="1"/>
  <c r="Y46" i="1"/>
  <c r="W46" i="1"/>
  <c r="AD46" i="1"/>
  <c r="AM21" i="1"/>
  <c r="AD34" i="1"/>
  <c r="W34" i="1"/>
  <c r="Y34" i="1"/>
  <c r="AF20" i="1"/>
  <c r="AM20" i="1" s="1"/>
  <c r="AM27" i="1"/>
  <c r="AD16" i="1"/>
  <c r="Y16" i="1"/>
  <c r="AF16" i="1" s="1"/>
  <c r="AM16" i="1" s="1"/>
  <c r="W16" i="1"/>
  <c r="AD30" i="1"/>
  <c r="Y30" i="1"/>
  <c r="W30" i="1"/>
  <c r="Q29" i="1"/>
  <c r="R29" i="1" s="1"/>
  <c r="Y25" i="1"/>
  <c r="W25" i="1"/>
  <c r="AD25" i="1" s="1"/>
  <c r="Q8" i="1"/>
  <c r="R8" i="1" s="1"/>
  <c r="Q9" i="1"/>
  <c r="R9" i="1" s="1"/>
  <c r="R25" i="1"/>
  <c r="R30" i="1"/>
  <c r="AF36" i="1"/>
  <c r="AM36" i="1" s="1"/>
  <c r="AF32" i="1"/>
  <c r="AM32" i="1" s="1"/>
  <c r="R34" i="1"/>
  <c r="AF18" i="1"/>
  <c r="AM18" i="1"/>
  <c r="W41" i="1"/>
  <c r="AD41" i="1"/>
  <c r="Y41" i="1"/>
  <c r="Q39" i="1"/>
  <c r="R39" i="1" s="1"/>
  <c r="Y13" i="1"/>
  <c r="AD13" i="1"/>
  <c r="W13" i="1"/>
  <c r="AF34" i="1" l="1"/>
  <c r="AM34" i="1" s="1"/>
  <c r="W48" i="1"/>
  <c r="AD48" i="1"/>
  <c r="AF43" i="1"/>
  <c r="AM43" i="1" s="1"/>
  <c r="AF25" i="1"/>
  <c r="AM25" i="1" s="1"/>
  <c r="AF41" i="1"/>
  <c r="AM41" i="1" s="1"/>
  <c r="AF46" i="1"/>
  <c r="AM46" i="1" s="1"/>
  <c r="AF35" i="1"/>
  <c r="AM35" i="1" s="1"/>
  <c r="AF33" i="1"/>
  <c r="AM33" i="1" s="1"/>
  <c r="AF13" i="1"/>
  <c r="AM13" i="1" s="1"/>
  <c r="AF30" i="1"/>
  <c r="AM30" i="1" s="1"/>
</calcChain>
</file>

<file path=xl/sharedStrings.xml><?xml version="1.0" encoding="utf-8"?>
<sst xmlns="http://schemas.openxmlformats.org/spreadsheetml/2006/main" count="473" uniqueCount="192">
  <si>
    <t>Obra</t>
  </si>
  <si>
    <t>Bancos</t>
  </si>
  <si>
    <t>B.D.I.</t>
  </si>
  <si>
    <t>Encargos Sociais</t>
  </si>
  <si>
    <t>Substituição da impermeabilização externa da cobertura do Espaço Corpo &amp; Mente do Edifício Anexo do Tribunal de Contas do Distrito Federal (Final)</t>
  </si>
  <si>
    <t xml:space="preserve">SINAPI - 02/2025 - Distrito Federal
SBC - 02/2025 - Distrito Federal
</t>
  </si>
  <si>
    <t>Não Desonerado: embutido nos preços unitário dos insumos de mão de obra, de acordo com as bases.</t>
  </si>
  <si>
    <t>Planilha Orçamentária Sintética Com Valor do Material, Mão de Obra e Equipamento - SOMNIUM</t>
  </si>
  <si>
    <t>Item</t>
  </si>
  <si>
    <t>Código</t>
  </si>
  <si>
    <t>Banco</t>
  </si>
  <si>
    <t>Descrição</t>
  </si>
  <si>
    <t>Und</t>
  </si>
  <si>
    <t>Quant.</t>
  </si>
  <si>
    <t>Valor Unitário sem BDI</t>
  </si>
  <si>
    <t>Subtotal sem BDI</t>
  </si>
  <si>
    <t>Valor Unitário com BDI</t>
  </si>
  <si>
    <t>Subtotal com BDI</t>
  </si>
  <si>
    <t>Preço Total com BDI</t>
  </si>
  <si>
    <t>Peso (%)</t>
  </si>
  <si>
    <t>1º MEDIÇÃO - 01/10/2025  A 03/11/2025</t>
  </si>
  <si>
    <t>SALDO DO CONTRATO</t>
  </si>
  <si>
    <t>2º MEDIÇÃO - 01/01/2026  A 31/01/2026</t>
  </si>
  <si>
    <t>M. O.</t>
  </si>
  <si>
    <t>EQ.</t>
  </si>
  <si>
    <t>MAT.</t>
  </si>
  <si>
    <t>Total</t>
  </si>
  <si>
    <t>PREÇO TOTAL</t>
  </si>
  <si>
    <t xml:space="preserve"> 1 .00</t>
  </si>
  <si>
    <t>SERVIÇOS TÉCNICOS PROFISSIONAIS</t>
  </si>
  <si>
    <t>ACUMULADO</t>
  </si>
  <si>
    <t>% DO PERÍODO</t>
  </si>
  <si>
    <t>QUANTIDADE  NO PERÍODO</t>
  </si>
  <si>
    <t>R$ NO PERÍODO</t>
  </si>
  <si>
    <t>%</t>
  </si>
  <si>
    <t>R$</t>
  </si>
  <si>
    <t xml:space="preserve"> 1.1 </t>
  </si>
  <si>
    <t>2</t>
  </si>
  <si>
    <t>Próprio</t>
  </si>
  <si>
    <t>ART do contrato - Obras acima de R$ 15.000,00</t>
  </si>
  <si>
    <t>un</t>
  </si>
  <si>
    <t xml:space="preserve"> 2 .00</t>
  </si>
  <si>
    <t>SERVIÇOS PRELIMINARES</t>
  </si>
  <si>
    <t>-</t>
  </si>
  <si>
    <t xml:space="preserve"> 2.1 </t>
  </si>
  <si>
    <t>CANTEIRO DE OBRAS</t>
  </si>
  <si>
    <t xml:space="preserve"> 2.1.1</t>
  </si>
  <si>
    <t>SINAPI</t>
  </si>
  <si>
    <t>INSTALAÇÃO E DESINSTALAÇÃO MANUAL DE CONTÊINER OU MÓDULO HABITÁVEL PEQUENO. AF_03/2024</t>
  </si>
  <si>
    <t>UN</t>
  </si>
  <si>
    <t xml:space="preserve"> 2.1.2 </t>
  </si>
  <si>
    <t>PLACA DE OBRA (PARA CONSTRUCAO CIVIL) EM CHAPA GALVANIZADA *N. 22*, ADESIVADA, DE *2,4 X 1,2* M (SEM POSTES PARA FIXACAO)</t>
  </si>
  <si>
    <t>m²</t>
  </si>
  <si>
    <t>2.1.3</t>
  </si>
  <si>
    <t>EXECUÇÃO DOS APOIOS PARA CONTÊINER OU MÓDULO HABITÁVEL. AF_03/2024</t>
  </si>
  <si>
    <t>m³</t>
  </si>
  <si>
    <t xml:space="preserve"> 2.1.4 </t>
  </si>
  <si>
    <t>LOCACAO DE CONTAINER 2,30 X 6,00 M, ALT. 2,50 M, COM 1 SANITARIO, PARA ESCRITORIO, COMPLETO, SEM DIVISORIAS INTERNAS (NAO INCLUI MOBILIZACAO/DESMOBILIZACAO)</t>
  </si>
  <si>
    <t>MES</t>
  </si>
  <si>
    <t xml:space="preserve"> 2.1.5 </t>
  </si>
  <si>
    <t>INSTALAÇÃO DE CONCERTINA DUPLA CLIPADA, ESPIRAL DE 300 MM. AF_03/2024</t>
  </si>
  <si>
    <t>M</t>
  </si>
  <si>
    <t xml:space="preserve"> 2.1.6 </t>
  </si>
  <si>
    <t>EXECUÇÃO DE DEPÓSITO EM CANTEIRO DE OBRA EM CHAPA DE MADEIRA COMPENSADA, NÃO INCLUSO MOBILIÁRIO. AF_04/2016</t>
  </si>
  <si>
    <t xml:space="preserve"> 2.1.7 </t>
  </si>
  <si>
    <t xml:space="preserve">SISTEMA DE MONITORAMENTO 24 H PARA CANTEIRO </t>
  </si>
  <si>
    <t>mês</t>
  </si>
  <si>
    <t xml:space="preserve"> 2.1.8 </t>
  </si>
  <si>
    <t>TAPUME COM TELHA METÁLICA. AF_03/2024</t>
  </si>
  <si>
    <t xml:space="preserve"> 2.1.9 </t>
  </si>
  <si>
    <t>TAPUME COM COMPENSADO DE MADEIRA. AF_03/2024</t>
  </si>
  <si>
    <t xml:space="preserve"> 2.2 </t>
  </si>
  <si>
    <t>LIGAÇÕES PROVISÓRIAS</t>
  </si>
  <si>
    <t xml:space="preserve"> 2.2.1 </t>
  </si>
  <si>
    <t>COMPOSIÇÃO PARAMÉTRICA DE LIGAÇÃO PREDIAL DE ESGOTO, REDE DN 150 MM, COLETOR PREDIAL DN 100 MM, L = 2,0 M, LARGURA DA VALA = 0,65 M; COM SELIM E CURVA 90 GRAUS; ESCAVAÇÃO MANUAL, PREPARO DE FUNDO DE VALA E REATERRO COMPACTADO. AF_06/2022</t>
  </si>
  <si>
    <t xml:space="preserve"> 2.2.2 </t>
  </si>
  <si>
    <t>COMPOSIÇÃO PARAMÉTRICA DE LIGAÇÃO PREDIAL DE ÁGUA, REDE DN 50 MM, RAMAL PREDIAL DE 20 MM, L = 2,0 M, LARGURA DA VALA = 0,65 M; COM COLAR DE TOMADA DE PVC; ESCAVAÇÃO MANUAL, PREPARO DE FUNDO DE VALA E REATERRO COMPACTADO. AF_06/2022</t>
  </si>
  <si>
    <t xml:space="preserve"> 2.2.3 </t>
  </si>
  <si>
    <t>SBC</t>
  </si>
  <si>
    <t>INSTALACAO PROVISORIA DE FORCA</t>
  </si>
  <si>
    <t>PT</t>
  </si>
  <si>
    <t xml:space="preserve"> 2.3 </t>
  </si>
  <si>
    <t>DEMOLIÇÕES E REMOÇÕES</t>
  </si>
  <si>
    <t xml:space="preserve"> 2.3.1 </t>
  </si>
  <si>
    <t>REMOÇÃO DE TAPUME/ CHAPAS METÁLICAS E DE MADEIRA, DE FORMA MANUAL, SEM REAPROVEITAMENTO. AF_09/2023</t>
  </si>
  <si>
    <t xml:space="preserve"> 2.3.2 </t>
  </si>
  <si>
    <t>BOTA FORA EM CACAMBA 5M3 48 HORAS</t>
  </si>
  <si>
    <t xml:space="preserve"> 2.3.3 </t>
  </si>
  <si>
    <t>RETIRADA IMPERMEABILIZACAO FLEXIVEL EXCL.CAMADA PROTECAO</t>
  </si>
  <si>
    <t xml:space="preserve"> 2.3.4 </t>
  </si>
  <si>
    <t>REMOCAO DE CAMADA DE PROTECAO EXISTENTE ATE CAM.IMPERMEAB.</t>
  </si>
  <si>
    <t xml:space="preserve"> 2.3.5 </t>
  </si>
  <si>
    <t>DEMOLIÇÃO DE PISO DE CONCRETO SIMPLES, DE FORMA MECANIZADA COM MARTELETE, SEM REAPROVEITAMENTO. AF_09/2023</t>
  </si>
  <si>
    <t xml:space="preserve"> 3.00</t>
  </si>
  <si>
    <t>PISOS E IMPERMEABILIZAÇÕES</t>
  </si>
  <si>
    <t xml:space="preserve"> 3.1 </t>
  </si>
  <si>
    <t>EXECUÇÃO DE PASSEIO (CALÇADA) OU PISO DE CONCRETO COM CONCRETO MOLDADO IN LOCO, USINADO, ACABAMENTO CONVENCIONAL, ESPESSURA 6 CM, ARMADO. AF_08/2022</t>
  </si>
  <si>
    <t xml:space="preserve"> 3.2 </t>
  </si>
  <si>
    <t>POLIESTIRENO EXPANDIDO/EPS (ISOPOR), TIPO 2F, PLACA, ISOLAMENTO TERMOACUSTICO, E = 20 MM, 1000 X 500 MM</t>
  </si>
  <si>
    <t xml:space="preserve"> 3.3 </t>
  </si>
  <si>
    <t>PROTEÇÃO MECÂNICA DE SUPERFICIE HORIZONTAL COM ARGAMASSA DE CIMENTO E AREIA, TRAÇO 1:3, E=4CM. AF_09/2023</t>
  </si>
  <si>
    <t xml:space="preserve"> 3.4 </t>
  </si>
  <si>
    <t>ASSENTAMENTO DE GUIA (MEIO-FIO) EM TRECHO RETO, CONFECCIONADA EM CONCRETO PRÉ-FABRICADO, DIMENSÕES 100X15X13X20 CM (COMPRIMENTO X BASE INFERIOR X BASE SUPERIOR X ALTURA). AF_01/2024</t>
  </si>
  <si>
    <t xml:space="preserve"> 3.5 </t>
  </si>
  <si>
    <t>PINTURA DE PISO COM TINTA ACRÍLICA, APLICAÇÃO MANUAL, 2 DEMÃOS, INCLUSO FUNDO PREPARADOR. AF_05/2021</t>
  </si>
  <si>
    <t xml:space="preserve"> 3.6 </t>
  </si>
  <si>
    <t>IMPERMEABILIZAÇÃO COM MANTA ASFÁLTICA COLADA COM ASFALTO DERRETIDO, DUAS CAMADAS, E = 3MM E E=4MM. AF_09/2023</t>
  </si>
  <si>
    <t xml:space="preserve"> 3.7 </t>
  </si>
  <si>
    <t>LASTRO DE CONCRETO MAGRO, APLICADO EM PISOS, LAJES SOBRE SOLO OU RADIERS, ESPESSURA DE 3 CM. AF_01/2024</t>
  </si>
  <si>
    <t xml:space="preserve"> 3.8 </t>
  </si>
  <si>
    <t>FABRICAÇÃO, MONTAGEM E DESMONTAGEM DE FORMA PARA RADIER, PISO DE CONCRETO OU LAJE SOBRE SOLO, EM MADEIRA SERRADA, 4 UTILIZAÇÕES. AF_09/2021</t>
  </si>
  <si>
    <t xml:space="preserve"> 3.9 </t>
  </si>
  <si>
    <t>CONCRETAGEM DE RADIER, PISO DE CONCRETO OU LAJE SOBRE SOLO, FCK 30 MPA - LANÇAMENTO, ADENSAMENTO E ACABAMENTO. AF_09/2021</t>
  </si>
  <si>
    <t xml:space="preserve"> 4.00</t>
  </si>
  <si>
    <t>DRENAGEM</t>
  </si>
  <si>
    <t xml:space="preserve"> 4.1 </t>
  </si>
  <si>
    <t>CALHA / PERFIL PLUVIAL DE PVC, DIAMETRO ENTRE *119 E 170* MM, COMPRIMENTO DE 3 M, PARA DRENAGEM PLUVIAL PREDIAL</t>
  </si>
  <si>
    <t xml:space="preserve"> 4.2 </t>
  </si>
  <si>
    <t>CALHA/CANALETA DE CONCRETO SIMPLES, TIPO MEIA CANA, DIAMETRO DE 20 CM, PARA AGUA PLUVIAL</t>
  </si>
  <si>
    <t xml:space="preserve"> 5.00</t>
  </si>
  <si>
    <t>LIMPEZA DA OBRA</t>
  </si>
  <si>
    <t xml:space="preserve"> 5.1 </t>
  </si>
  <si>
    <t>PREPARO DO PISO CIMENTADO PARA PINTURA - LIXAMENTO E LIMPEZA. AF_05/2021</t>
  </si>
  <si>
    <t xml:space="preserve"> 6.00</t>
  </si>
  <si>
    <t>ADMINISTRAÇÃO LOCAL DA OBRA</t>
  </si>
  <si>
    <t xml:space="preserve"> 6.1 </t>
  </si>
  <si>
    <t>ENGENHEIRO CIVIL DE OBRA JUNIOR COM ENCARGOS COMPLEMENTARES</t>
  </si>
  <si>
    <t xml:space="preserve"> 6.2 </t>
  </si>
  <si>
    <t>MESTRE DE OBRAS COM ENCARGOS COMPLEMENTARES</t>
  </si>
  <si>
    <t>TOTAL GERAL DOS ITENS (Sem aplicação do BDI)</t>
  </si>
  <si>
    <t>BDI (%)</t>
  </si>
  <si>
    <t xml:space="preserve">TOTAL GERAL 1º MEDIÇÃO </t>
  </si>
  <si>
    <t xml:space="preserve">TOTAL GERAL 2º MEDIÇÃO </t>
  </si>
  <si>
    <t>TOTAL GERAL DA OBRA COM BDI</t>
  </si>
  <si>
    <t>_______________________________________________________________
SOMNIUM LTDA
PAULO HENRIQUE PAIVA MORAIS CREA: 26879/D-DF
REPRESENTANTE LEGAL</t>
  </si>
  <si>
    <t>SINAPI + ( 1º TERMO ADITIVO)</t>
  </si>
  <si>
    <t>SBC + ( 1º TERMO ADITIVO)</t>
  </si>
  <si>
    <t>SINAPI +( 1º TERMO ADITIVO)</t>
  </si>
  <si>
    <t>SINAPI + (1º TERMO ADITIVO)</t>
  </si>
  <si>
    <t>3º MEDIÇÃO - 01/02/2026 A 28/02/2026</t>
  </si>
  <si>
    <t>OBRA:  Substituição da impermeabilização externa da cobertura do Espaço Corpo &amp; Mente do Edifício Anexo do Tribunal de Contas do Distrito Federal (Final)</t>
  </si>
  <si>
    <t xml:space="preserve">ITEM </t>
  </si>
  <si>
    <t xml:space="preserve">DESCRIÇÃO </t>
  </si>
  <si>
    <t xml:space="preserve">UNIDADE </t>
  </si>
  <si>
    <t>MÊS</t>
  </si>
  <si>
    <t>DESCRIÇÃO</t>
  </si>
  <si>
    <t xml:space="preserve">QUANTIDADE </t>
  </si>
  <si>
    <t>INCIDÊNCIA</t>
  </si>
  <si>
    <t>QUANTIDADE ACUMULADA</t>
  </si>
  <si>
    <t>CONTAINER 2,30 X 6,00 M, ALT. 2,50 M, COM 1 SANITARIO</t>
  </si>
  <si>
    <t>TOTAL (MÊS):</t>
  </si>
  <si>
    <t xml:space="preserve">LARGURA </t>
  </si>
  <si>
    <t xml:space="preserve">COMPRIMENTO </t>
  </si>
  <si>
    <t xml:space="preserve">INCIDÊNCIA </t>
  </si>
  <si>
    <t>TOTAL (M²):</t>
  </si>
  <si>
    <t xml:space="preserve">VOLUME </t>
  </si>
  <si>
    <t>TOTAL (VOLUME):</t>
  </si>
  <si>
    <t>TOTAL (QUANTIDADE):</t>
  </si>
  <si>
    <t xml:space="preserve">METRO </t>
  </si>
  <si>
    <t>TOTAL (COMPRIMENTO):</t>
  </si>
  <si>
    <t>TAPUME GERAL CANTEIRO  DE OBRAS</t>
  </si>
  <si>
    <t>QUANTIDADE</t>
  </si>
  <si>
    <t>METROS QUADRADO</t>
  </si>
  <si>
    <t>UNIDADE</t>
  </si>
  <si>
    <t>CTR - 22663028</t>
  </si>
  <si>
    <t>CTR - 2603249</t>
  </si>
  <si>
    <t>CTR  - 2574051</t>
  </si>
  <si>
    <t>CTR - 2557115</t>
  </si>
  <si>
    <t>CTR  - 2572416</t>
  </si>
  <si>
    <t>CTR  - 2557116</t>
  </si>
  <si>
    <t>CTR  - 2558825</t>
  </si>
  <si>
    <t>ÁREA TÉCNICA GERAL CONTRATADO</t>
  </si>
  <si>
    <t xml:space="preserve">ÁREA TÉCNICA 1 ADITIVO </t>
  </si>
  <si>
    <t xml:space="preserve">ÁREA TÉCNICA 2 ADITIVO </t>
  </si>
  <si>
    <t xml:space="preserve">ÁREA TÉCNICA 3 ADITIVO </t>
  </si>
  <si>
    <t>ÁREA TÉCNICA GERAL CALHAS</t>
  </si>
  <si>
    <t>METROS</t>
  </si>
  <si>
    <t>LATERAL RAMPA ACESSO 1</t>
  </si>
  <si>
    <t>LATERAL RAMPA ACESSO 2</t>
  </si>
  <si>
    <t>ÁREA (A)</t>
  </si>
  <si>
    <t>ÁREA (B)</t>
  </si>
  <si>
    <t>ÁREA (C)</t>
  </si>
  <si>
    <t>ÁREA (D)</t>
  </si>
  <si>
    <t>ÁREA (E)</t>
  </si>
  <si>
    <t>ÁREA (F)</t>
  </si>
  <si>
    <t>ÁREA (G)</t>
  </si>
  <si>
    <t>ÁREA CALHA PRINCIPAL "LATERAL"</t>
  </si>
  <si>
    <t>ÁREA CALHA TÉNICA 1 "FRONTAL"</t>
  </si>
  <si>
    <t xml:space="preserve">ÁREA TÉNICA GERAL OBRA </t>
  </si>
  <si>
    <t>MEMÓRIA DE CÁLCULO - 3º MEDIÇÃO CONTRATO 036/2025</t>
  </si>
  <si>
    <t xml:space="preserve">TOTAL GERAL 3º MEDIÇÃO 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</si>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</sst>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00_-;\-* #,##0.000000_-;_-* &quot;-&quot;??_-;_-@_-"/>
    <numFmt numFmtId="165" formatCode="0.00000%"/>
  </numFmts>
  <fonts count="26" x14ac:knownFonts="1">
    <font>
      <sz val="11"/>
      <name val="Arial"/>
      <family val="1"/>
    </font>
    <font>
      <sz val="11"/>
      <color theme="1"/>
      <name val="Aptos Narrow"/>
      <family val="2"/>
      <scheme val="minor"/>
    </font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1"/>
      <color rgb="FFFF0000"/>
      <name val="Arial"/>
      <family val="2"/>
    </font>
    <font>
      <b/>
      <sz val="10"/>
      <color rgb="FF000000"/>
      <name val="Arial"/>
      <family val="1"/>
    </font>
    <font>
      <b/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1"/>
    </font>
    <font>
      <b/>
      <sz val="10"/>
      <color theme="1"/>
      <name val="Arial"/>
      <family val="2"/>
    </font>
    <font>
      <b/>
      <sz val="14"/>
      <color rgb="FFFF0000"/>
      <name val="Arial"/>
      <family val="2"/>
    </font>
    <font>
      <i/>
      <sz val="12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1"/>
    </font>
    <font>
      <sz val="9"/>
      <name val="Arial"/>
      <family val="1"/>
    </font>
    <font>
      <b/>
      <sz val="9"/>
      <name val="Arial"/>
      <family val="2"/>
    </font>
    <font>
      <sz val="9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8"/>
      <name val="Arial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8ECF6"/>
      </patternFill>
    </fill>
    <fill>
      <patternFill patternType="solid">
        <fgColor rgb="FFF7F3DF"/>
        <bgColor rgb="FFF7F3DF"/>
      </patternFill>
    </fill>
    <fill>
      <patternFill patternType="solid">
        <fgColor theme="0" tint="-4.9989318521683403E-2"/>
        <bgColor rgb="FFD8ECF6"/>
      </patternFill>
    </fill>
    <fill>
      <patternFill patternType="solid">
        <fgColor theme="9" tint="0.79998168889431442"/>
        <bgColor rgb="FFDFF0D8"/>
      </patternFill>
    </fill>
    <fill>
      <patternFill patternType="solid">
        <fgColor theme="9" tint="0.79998168889431442"/>
        <bgColor rgb="FFF7F3D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7F3DF"/>
      </patternFill>
    </fill>
    <fill>
      <patternFill patternType="solid">
        <fgColor theme="2"/>
        <bgColor rgb="FFF7F3D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</patternFill>
    </fill>
    <fill>
      <patternFill patternType="solid">
        <fgColor theme="5" tint="0.59999389629810485"/>
        <bgColor rgb="FFDFF0D8"/>
      </patternFill>
    </fill>
    <fill>
      <patternFill patternType="solid">
        <fgColor theme="5" tint="0.59999389629810485"/>
        <bgColor rgb="FFF7F3DF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FFFFF"/>
      </patternFill>
    </fill>
  </fills>
  <borders count="27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4" borderId="0" xfId="0" applyFill="1"/>
    <xf numFmtId="0" fontId="3" fillId="2" borderId="4" xfId="0" applyFont="1" applyFill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164" fontId="6" fillId="7" borderId="4" xfId="0" applyNumberFormat="1" applyFont="1" applyFill="1" applyBorder="1" applyAlignment="1">
      <alignment horizontal="right" vertical="top" wrapText="1"/>
    </xf>
    <xf numFmtId="164" fontId="6" fillId="7" borderId="4" xfId="1" applyNumberFormat="1" applyFont="1" applyFill="1" applyBorder="1" applyAlignment="1">
      <alignment horizontal="right" vertical="top" wrapText="1"/>
    </xf>
    <xf numFmtId="43" fontId="6" fillId="7" borderId="4" xfId="1" applyFont="1" applyFill="1" applyBorder="1" applyAlignment="1">
      <alignment horizontal="right" vertical="top" wrapText="1"/>
    </xf>
    <xf numFmtId="10" fontId="6" fillId="7" borderId="4" xfId="3" applyNumberFormat="1" applyFont="1" applyFill="1" applyBorder="1" applyAlignment="1">
      <alignment horizontal="right" vertical="top" wrapText="1"/>
    </xf>
    <xf numFmtId="9" fontId="7" fillId="5" borderId="7" xfId="3" applyFont="1" applyFill="1" applyBorder="1" applyAlignment="1">
      <alignment horizontal="center" vertical="center" wrapText="1"/>
    </xf>
    <xf numFmtId="9" fontId="7" fillId="5" borderId="8" xfId="3" applyFont="1" applyFill="1" applyBorder="1" applyAlignment="1">
      <alignment horizontal="center" vertical="center" wrapText="1"/>
    </xf>
    <xf numFmtId="44" fontId="7" fillId="5" borderId="9" xfId="2" applyFont="1" applyFill="1" applyBorder="1" applyAlignment="1">
      <alignment horizontal="center" vertical="center" wrapText="1"/>
    </xf>
    <xf numFmtId="44" fontId="7" fillId="5" borderId="10" xfId="2" applyFont="1" applyFill="1" applyBorder="1" applyAlignment="1">
      <alignment horizontal="center" vertical="center" wrapText="1"/>
    </xf>
    <xf numFmtId="44" fontId="7" fillId="6" borderId="11" xfId="2" applyFont="1" applyFill="1" applyBorder="1" applyAlignment="1">
      <alignment horizontal="center" vertical="center" wrapText="1"/>
    </xf>
    <xf numFmtId="0" fontId="8" fillId="6" borderId="12" xfId="4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left" vertical="top" wrapText="1"/>
    </xf>
    <xf numFmtId="49" fontId="9" fillId="8" borderId="4" xfId="0" applyNumberFormat="1" applyFont="1" applyFill="1" applyBorder="1" applyAlignment="1">
      <alignment horizontal="right" vertical="top" wrapText="1"/>
    </xf>
    <xf numFmtId="0" fontId="9" fillId="8" borderId="4" xfId="0" applyFont="1" applyFill="1" applyBorder="1" applyAlignment="1">
      <alignment horizontal="center" vertical="top" wrapText="1"/>
    </xf>
    <xf numFmtId="2" fontId="9" fillId="8" borderId="4" xfId="0" applyNumberFormat="1" applyFont="1" applyFill="1" applyBorder="1" applyAlignment="1">
      <alignment horizontal="right" vertical="top" wrapText="1"/>
    </xf>
    <xf numFmtId="43" fontId="9" fillId="8" borderId="4" xfId="1" applyFont="1" applyFill="1" applyBorder="1" applyAlignment="1">
      <alignment horizontal="right" vertical="top" wrapText="1"/>
    </xf>
    <xf numFmtId="10" fontId="9" fillId="8" borderId="4" xfId="3" applyNumberFormat="1" applyFont="1" applyFill="1" applyBorder="1" applyAlignment="1">
      <alignment horizontal="right" vertical="top" wrapText="1"/>
    </xf>
    <xf numFmtId="9" fontId="10" fillId="5" borderId="13" xfId="3" applyFont="1" applyFill="1" applyBorder="1" applyAlignment="1">
      <alignment horizontal="center" vertical="center"/>
    </xf>
    <xf numFmtId="9" fontId="10" fillId="5" borderId="11" xfId="3" applyFont="1" applyFill="1" applyBorder="1" applyAlignment="1">
      <alignment horizontal="center" vertical="center"/>
    </xf>
    <xf numFmtId="43" fontId="10" fillId="5" borderId="12" xfId="1" applyFont="1" applyFill="1" applyBorder="1" applyAlignment="1">
      <alignment horizontal="center" vertical="center"/>
    </xf>
    <xf numFmtId="44" fontId="11" fillId="5" borderId="14" xfId="2" applyFont="1" applyFill="1" applyBorder="1" applyAlignment="1">
      <alignment vertical="center"/>
    </xf>
    <xf numFmtId="9" fontId="10" fillId="4" borderId="11" xfId="3" applyFont="1" applyFill="1" applyBorder="1" applyAlignment="1">
      <alignment horizontal="center" vertical="center"/>
    </xf>
    <xf numFmtId="44" fontId="12" fillId="4" borderId="12" xfId="4" applyNumberFormat="1" applyFont="1" applyFill="1" applyBorder="1" applyAlignment="1">
      <alignment horizontal="center" vertical="center" wrapText="1"/>
    </xf>
    <xf numFmtId="9" fontId="10" fillId="4" borderId="11" xfId="3" applyFont="1" applyFill="1" applyBorder="1" applyAlignment="1">
      <alignment vertical="center"/>
    </xf>
    <xf numFmtId="0" fontId="6" fillId="9" borderId="4" xfId="0" applyFont="1" applyFill="1" applyBorder="1" applyAlignment="1">
      <alignment horizontal="left" vertical="top" wrapText="1"/>
    </xf>
    <xf numFmtId="0" fontId="6" fillId="9" borderId="4" xfId="0" applyFont="1" applyFill="1" applyBorder="1" applyAlignment="1">
      <alignment horizontal="right" vertical="top" wrapText="1"/>
    </xf>
    <xf numFmtId="43" fontId="6" fillId="9" borderId="4" xfId="1" applyFont="1" applyFill="1" applyBorder="1" applyAlignment="1">
      <alignment horizontal="right" vertical="top" wrapText="1"/>
    </xf>
    <xf numFmtId="43" fontId="13" fillId="9" borderId="4" xfId="1" applyFont="1" applyFill="1" applyBorder="1" applyAlignment="1">
      <alignment horizontal="right" vertical="top" wrapText="1"/>
    </xf>
    <xf numFmtId="10" fontId="6" fillId="9" borderId="4" xfId="3" applyNumberFormat="1" applyFont="1" applyFill="1" applyBorder="1" applyAlignment="1">
      <alignment horizontal="right" vertical="top" wrapText="1"/>
    </xf>
    <xf numFmtId="0" fontId="9" fillId="10" borderId="4" xfId="0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horizontal="right" vertical="top" wrapText="1"/>
    </xf>
    <xf numFmtId="0" fontId="9" fillId="10" borderId="4" xfId="0" applyFont="1" applyFill="1" applyBorder="1" applyAlignment="1">
      <alignment horizontal="center" vertical="top" wrapText="1"/>
    </xf>
    <xf numFmtId="2" fontId="9" fillId="10" borderId="4" xfId="0" applyNumberFormat="1" applyFont="1" applyFill="1" applyBorder="1" applyAlignment="1">
      <alignment horizontal="right" vertical="top" wrapText="1"/>
    </xf>
    <xf numFmtId="43" fontId="9" fillId="11" borderId="4" xfId="1" applyFont="1" applyFill="1" applyBorder="1" applyAlignment="1">
      <alignment horizontal="right" vertical="top" wrapText="1"/>
    </xf>
    <xf numFmtId="10" fontId="9" fillId="11" borderId="4" xfId="3" applyNumberFormat="1" applyFont="1" applyFill="1" applyBorder="1" applyAlignment="1">
      <alignment horizontal="right" vertical="top" wrapText="1"/>
    </xf>
    <xf numFmtId="0" fontId="9" fillId="8" borderId="4" xfId="0" applyFont="1" applyFill="1" applyBorder="1" applyAlignment="1">
      <alignment horizontal="right" vertical="top" wrapText="1"/>
    </xf>
    <xf numFmtId="43" fontId="9" fillId="13" borderId="4" xfId="1" applyFont="1" applyFill="1" applyBorder="1" applyAlignment="1">
      <alignment horizontal="right" vertical="top" wrapText="1"/>
    </xf>
    <xf numFmtId="10" fontId="13" fillId="9" borderId="4" xfId="3" applyNumberFormat="1" applyFont="1" applyFill="1" applyBorder="1" applyAlignment="1">
      <alignment horizontal="right" vertical="top" wrapText="1"/>
    </xf>
    <xf numFmtId="43" fontId="14" fillId="14" borderId="4" xfId="1" applyFont="1" applyFill="1" applyBorder="1" applyAlignment="1">
      <alignment horizontal="right" vertical="top" wrapText="1"/>
    </xf>
    <xf numFmtId="43" fontId="9" fillId="14" borderId="4" xfId="1" applyFont="1" applyFill="1" applyBorder="1" applyAlignment="1">
      <alignment horizontal="right" vertical="top" wrapText="1"/>
    </xf>
    <xf numFmtId="10" fontId="14" fillId="7" borderId="4" xfId="3" applyNumberFormat="1" applyFont="1" applyFill="1" applyBorder="1" applyAlignment="1">
      <alignment horizontal="right" vertical="top" wrapText="1"/>
    </xf>
    <xf numFmtId="43" fontId="16" fillId="16" borderId="4" xfId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0" fontId="4" fillId="17" borderId="0" xfId="0" applyFont="1" applyFill="1" applyAlignment="1">
      <alignment horizontal="right" vertical="top" wrapText="1"/>
    </xf>
    <xf numFmtId="165" fontId="16" fillId="16" borderId="4" xfId="3" applyNumberFormat="1" applyFont="1" applyFill="1" applyBorder="1" applyAlignment="1">
      <alignment horizontal="right" vertical="top" wrapText="1"/>
    </xf>
    <xf numFmtId="43" fontId="4" fillId="17" borderId="0" xfId="1" applyFont="1" applyFill="1" applyAlignment="1">
      <alignment horizontal="center" vertical="top" wrapText="1"/>
    </xf>
    <xf numFmtId="44" fontId="18" fillId="4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left" vertical="top" wrapText="1"/>
    </xf>
    <xf numFmtId="4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4" fillId="17" borderId="0" xfId="0" applyFont="1" applyFill="1" applyAlignment="1">
      <alignment horizontal="center" vertical="top" wrapText="1"/>
    </xf>
    <xf numFmtId="43" fontId="4" fillId="2" borderId="0" xfId="0" applyNumberFormat="1" applyFont="1" applyFill="1" applyAlignment="1">
      <alignment horizontal="center" vertical="top" wrapText="1"/>
    </xf>
    <xf numFmtId="0" fontId="9" fillId="19" borderId="4" xfId="0" applyFont="1" applyFill="1" applyBorder="1" applyAlignment="1">
      <alignment horizontal="left" vertical="top" wrapText="1"/>
    </xf>
    <xf numFmtId="0" fontId="9" fillId="19" borderId="4" xfId="0" applyFont="1" applyFill="1" applyBorder="1" applyAlignment="1">
      <alignment horizontal="right" vertical="top" wrapText="1"/>
    </xf>
    <xf numFmtId="0" fontId="9" fillId="19" borderId="4" xfId="0" applyFont="1" applyFill="1" applyBorder="1" applyAlignment="1">
      <alignment horizontal="center" vertical="top" wrapText="1"/>
    </xf>
    <xf numFmtId="43" fontId="9" fillId="20" borderId="4" xfId="1" applyFont="1" applyFill="1" applyBorder="1" applyAlignment="1">
      <alignment horizontal="right" vertical="top" wrapText="1"/>
    </xf>
    <xf numFmtId="10" fontId="9" fillId="20" borderId="4" xfId="3" applyNumberFormat="1" applyFont="1" applyFill="1" applyBorder="1" applyAlignment="1">
      <alignment horizontal="right" vertical="top" wrapText="1"/>
    </xf>
    <xf numFmtId="2" fontId="9" fillId="19" borderId="4" xfId="0" applyNumberFormat="1" applyFont="1" applyFill="1" applyBorder="1" applyAlignment="1">
      <alignment horizontal="right" vertical="top" wrapText="1"/>
    </xf>
    <xf numFmtId="0" fontId="9" fillId="20" borderId="4" xfId="0" applyFont="1" applyFill="1" applyBorder="1" applyAlignment="1">
      <alignment horizontal="left" vertical="top" wrapText="1"/>
    </xf>
    <xf numFmtId="0" fontId="9" fillId="20" borderId="4" xfId="0" applyFont="1" applyFill="1" applyBorder="1" applyAlignment="1">
      <alignment horizontal="right" vertical="top" wrapText="1"/>
    </xf>
    <xf numFmtId="0" fontId="9" fillId="20" borderId="4" xfId="0" applyFont="1" applyFill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" fontId="20" fillId="0" borderId="12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/>
    </xf>
    <xf numFmtId="4" fontId="20" fillId="0" borderId="21" xfId="0" applyNumberFormat="1" applyFont="1" applyBorder="1" applyAlignment="1">
      <alignment horizontal="center" vertical="center" wrapText="1"/>
    </xf>
    <xf numFmtId="4" fontId="20" fillId="0" borderId="21" xfId="0" applyNumberFormat="1" applyFont="1" applyBorder="1" applyAlignment="1">
      <alignment horizontal="center"/>
    </xf>
    <xf numFmtId="4" fontId="20" fillId="0" borderId="22" xfId="0" applyNumberFormat="1" applyFont="1" applyBorder="1" applyAlignment="1">
      <alignment horizontal="center"/>
    </xf>
    <xf numFmtId="4" fontId="20" fillId="0" borderId="23" xfId="0" applyNumberFormat="1" applyFont="1" applyBorder="1" applyAlignment="1">
      <alignment horizontal="center"/>
    </xf>
    <xf numFmtId="4" fontId="22" fillId="0" borderId="18" xfId="0" applyNumberFormat="1" applyFont="1" applyBorder="1" applyAlignment="1">
      <alignment horizontal="center"/>
    </xf>
    <xf numFmtId="4" fontId="20" fillId="0" borderId="20" xfId="0" applyNumberFormat="1" applyFont="1" applyBorder="1"/>
    <xf numFmtId="4" fontId="20" fillId="0" borderId="24" xfId="0" applyNumberFormat="1" applyFont="1" applyBorder="1" applyAlignment="1">
      <alignment horizontal="right"/>
    </xf>
    <xf numFmtId="4" fontId="23" fillId="22" borderId="11" xfId="0" applyNumberFormat="1" applyFont="1" applyFill="1" applyBorder="1" applyAlignment="1">
      <alignment horizontal="center"/>
    </xf>
    <xf numFmtId="4" fontId="20" fillId="0" borderId="18" xfId="0" applyNumberFormat="1" applyFont="1" applyBorder="1" applyAlignment="1">
      <alignment horizontal="center" vertical="center" wrapText="1"/>
    </xf>
    <xf numFmtId="4" fontId="20" fillId="0" borderId="18" xfId="0" applyNumberFormat="1" applyFont="1" applyBorder="1" applyAlignment="1">
      <alignment horizontal="center"/>
    </xf>
    <xf numFmtId="4" fontId="20" fillId="0" borderId="25" xfId="0" applyNumberFormat="1" applyFont="1" applyBorder="1" applyAlignment="1">
      <alignment horizontal="center"/>
    </xf>
    <xf numFmtId="4" fontId="20" fillId="0" borderId="24" xfId="0" applyNumberFormat="1" applyFont="1" applyBorder="1"/>
    <xf numFmtId="4" fontId="20" fillId="0" borderId="11" xfId="0" applyNumberFormat="1" applyFont="1" applyBorder="1"/>
    <xf numFmtId="4" fontId="20" fillId="0" borderId="21" xfId="0" applyNumberFormat="1" applyFont="1" applyBorder="1"/>
    <xf numFmtId="4" fontId="20" fillId="0" borderId="25" xfId="0" applyNumberFormat="1" applyFont="1" applyBorder="1"/>
    <xf numFmtId="4" fontId="20" fillId="0" borderId="12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4" fontId="22" fillId="0" borderId="19" xfId="0" applyNumberFormat="1" applyFont="1" applyBorder="1" applyAlignment="1">
      <alignment horizontal="center"/>
    </xf>
    <xf numFmtId="4" fontId="20" fillId="0" borderId="8" xfId="0" applyNumberFormat="1" applyFont="1" applyBorder="1" applyAlignment="1">
      <alignment horizontal="center"/>
    </xf>
    <xf numFmtId="4" fontId="23" fillId="4" borderId="24" xfId="0" applyNumberFormat="1" applyFont="1" applyFill="1" applyBorder="1" applyAlignment="1">
      <alignment horizontal="center"/>
    </xf>
    <xf numFmtId="4" fontId="20" fillId="0" borderId="6" xfId="0" applyNumberFormat="1" applyFont="1" applyBorder="1" applyAlignment="1">
      <alignment horizontal="center"/>
    </xf>
    <xf numFmtId="4" fontId="20" fillId="0" borderId="19" xfId="0" applyNumberFormat="1" applyFont="1" applyBorder="1" applyAlignment="1">
      <alignment horizontal="center" vertical="center" wrapText="1"/>
    </xf>
    <xf numFmtId="4" fontId="20" fillId="0" borderId="19" xfId="0" applyNumberFormat="1" applyFont="1" applyBorder="1" applyAlignment="1">
      <alignment horizontal="center"/>
    </xf>
    <xf numFmtId="4" fontId="20" fillId="0" borderId="18" xfId="0" applyNumberFormat="1" applyFont="1" applyBorder="1" applyAlignment="1">
      <alignment horizontal="right"/>
    </xf>
    <xf numFmtId="4" fontId="20" fillId="0" borderId="0" xfId="0" applyNumberFormat="1" applyFont="1" applyAlignment="1">
      <alignment horizontal="right"/>
    </xf>
    <xf numFmtId="4" fontId="23" fillId="4" borderId="0" xfId="0" applyNumberFormat="1" applyFont="1" applyFill="1" applyAlignment="1">
      <alignment horizontal="center"/>
    </xf>
    <xf numFmtId="4" fontId="20" fillId="0" borderId="9" xfId="0" applyNumberFormat="1" applyFont="1" applyBorder="1" applyAlignment="1">
      <alignment horizontal="center" vertical="center" wrapText="1"/>
    </xf>
    <xf numFmtId="4" fontId="20" fillId="0" borderId="25" xfId="0" applyNumberFormat="1" applyFont="1" applyBorder="1" applyAlignment="1">
      <alignment horizontal="center" vertical="center" wrapText="1"/>
    </xf>
    <xf numFmtId="4" fontId="20" fillId="0" borderId="26" xfId="0" applyNumberFormat="1" applyFont="1" applyBorder="1" applyAlignment="1">
      <alignment horizontal="center" vertical="center"/>
    </xf>
    <xf numFmtId="4" fontId="23" fillId="22" borderId="12" xfId="0" applyNumberFormat="1" applyFont="1" applyFill="1" applyBorder="1" applyAlignment="1">
      <alignment horizontal="center"/>
    </xf>
    <xf numFmtId="4" fontId="22" fillId="0" borderId="18" xfId="0" applyNumberFormat="1" applyFont="1" applyBorder="1" applyAlignment="1">
      <alignment horizontal="center" wrapText="1"/>
    </xf>
    <xf numFmtId="44" fontId="18" fillId="12" borderId="0" xfId="0" applyNumberFormat="1" applyFont="1" applyFill="1" applyAlignment="1">
      <alignment vertical="center"/>
    </xf>
    <xf numFmtId="43" fontId="17" fillId="23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0" fontId="4" fillId="2" borderId="0" xfId="0" applyNumberFormat="1" applyFont="1" applyFill="1" applyAlignment="1">
      <alignment horizontal="left" vertical="top" wrapText="1"/>
    </xf>
    <xf numFmtId="0" fontId="15" fillId="15" borderId="15" xfId="0" applyFont="1" applyFill="1" applyBorder="1" applyAlignment="1">
      <alignment horizontal="right" vertical="center" wrapText="1"/>
    </xf>
    <xf numFmtId="0" fontId="15" fillId="15" borderId="16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horizontal="center" vertical="center" wrapText="1"/>
    </xf>
    <xf numFmtId="0" fontId="15" fillId="15" borderId="1" xfId="0" applyFont="1" applyFill="1" applyBorder="1" applyAlignment="1">
      <alignment horizontal="right" vertical="center" wrapText="1"/>
    </xf>
    <xf numFmtId="0" fontId="15" fillId="15" borderId="2" xfId="0" applyFont="1" applyFill="1" applyBorder="1" applyAlignment="1">
      <alignment horizontal="right" vertical="center" wrapText="1"/>
    </xf>
    <xf numFmtId="43" fontId="17" fillId="17" borderId="0" xfId="0" applyNumberFormat="1" applyFont="1" applyFill="1" applyAlignment="1">
      <alignment horizontal="center" vertical="center" wrapText="1"/>
    </xf>
    <xf numFmtId="43" fontId="16" fillId="16" borderId="1" xfId="1" applyFont="1" applyFill="1" applyBorder="1" applyAlignment="1">
      <alignment horizontal="right" vertical="top" wrapText="1"/>
    </xf>
    <xf numFmtId="43" fontId="16" fillId="16" borderId="2" xfId="1" applyFont="1" applyFill="1" applyBorder="1" applyAlignment="1">
      <alignment horizontal="right" vertical="top" wrapText="1"/>
    </xf>
    <xf numFmtId="43" fontId="16" fillId="16" borderId="3" xfId="1" applyFont="1" applyFill="1" applyBorder="1" applyAlignment="1">
      <alignment horizontal="right" vertical="top" wrapText="1"/>
    </xf>
    <xf numFmtId="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49" fontId="5" fillId="5" borderId="0" xfId="0" applyNumberFormat="1" applyFont="1" applyFill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6" borderId="0" xfId="0" applyNumberFormat="1" applyFont="1" applyFill="1" applyAlignment="1">
      <alignment horizontal="center" vertical="center" wrapText="1"/>
    </xf>
    <xf numFmtId="49" fontId="5" fillId="6" borderId="6" xfId="0" applyNumberFormat="1" applyFont="1" applyFill="1" applyBorder="1" applyAlignment="1">
      <alignment horizontal="center" vertical="center" wrapText="1"/>
    </xf>
    <xf numFmtId="43" fontId="17" fillId="23" borderId="0" xfId="0" applyNumberFormat="1" applyFont="1" applyFill="1" applyAlignment="1">
      <alignment horizontal="center" vertical="center" wrapText="1"/>
    </xf>
    <xf numFmtId="4" fontId="20" fillId="0" borderId="24" xfId="0" applyNumberFormat="1" applyFont="1" applyBorder="1" applyAlignment="1">
      <alignment horizontal="center"/>
    </xf>
    <xf numFmtId="4" fontId="20" fillId="0" borderId="24" xfId="0" applyNumberFormat="1" applyFont="1" applyBorder="1" applyAlignment="1">
      <alignment horizontal="right"/>
    </xf>
    <xf numFmtId="4" fontId="20" fillId="0" borderId="11" xfId="0" applyNumberFormat="1" applyFont="1" applyBorder="1" applyAlignment="1">
      <alignment horizontal="right"/>
    </xf>
    <xf numFmtId="0" fontId="0" fillId="0" borderId="24" xfId="0" applyBorder="1" applyAlignment="1">
      <alignment horizontal="center"/>
    </xf>
    <xf numFmtId="0" fontId="24" fillId="21" borderId="17" xfId="0" applyFont="1" applyFill="1" applyBorder="1" applyAlignment="1">
      <alignment horizontal="center"/>
    </xf>
    <xf numFmtId="0" fontId="24" fillId="21" borderId="0" xfId="0" applyFont="1" applyFill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1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horizontal="left" vertical="center" wrapText="1"/>
    </xf>
    <xf numFmtId="4" fontId="20" fillId="0" borderId="11" xfId="0" applyNumberFormat="1" applyFont="1" applyBorder="1" applyAlignment="1">
      <alignment horizontal="left" vertical="center" wrapText="1"/>
    </xf>
    <xf numFmtId="4" fontId="20" fillId="0" borderId="20" xfId="0" applyNumberFormat="1" applyFont="1" applyBorder="1" applyAlignment="1">
      <alignment horizontal="right"/>
    </xf>
    <xf numFmtId="0" fontId="0" fillId="0" borderId="25" xfId="0" applyBorder="1" applyAlignment="1">
      <alignment horizontal="center"/>
    </xf>
    <xf numFmtId="4" fontId="20" fillId="0" borderId="12" xfId="0" applyNumberFormat="1" applyFont="1" applyBorder="1" applyAlignment="1">
      <alignment horizontal="center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right" vertical="center" wrapText="1"/>
    </xf>
    <xf numFmtId="4" fontId="20" fillId="0" borderId="25" xfId="0" applyNumberFormat="1" applyFont="1" applyBorder="1" applyAlignment="1">
      <alignment horizontal="center"/>
    </xf>
    <xf numFmtId="4" fontId="20" fillId="0" borderId="25" xfId="0" applyNumberFormat="1" applyFont="1" applyBorder="1" applyAlignment="1">
      <alignment horizontal="left" vertical="center" wrapText="1"/>
    </xf>
    <xf numFmtId="4" fontId="20" fillId="0" borderId="6" xfId="0" applyNumberFormat="1" applyFont="1" applyBorder="1" applyAlignment="1">
      <alignment horizontal="right"/>
    </xf>
    <xf numFmtId="4" fontId="20" fillId="0" borderId="18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4" fontId="20" fillId="0" borderId="19" xfId="0" applyNumberFormat="1" applyFont="1" applyBorder="1" applyAlignment="1">
      <alignment horizontal="right"/>
    </xf>
    <xf numFmtId="4" fontId="20" fillId="0" borderId="20" xfId="0" applyNumberFormat="1" applyFont="1" applyBorder="1" applyAlignment="1">
      <alignment horizontal="center" vertical="center" wrapText="1"/>
    </xf>
    <xf numFmtId="4" fontId="20" fillId="0" borderId="11" xfId="0" applyNumberFormat="1" applyFont="1" applyBorder="1" applyAlignment="1">
      <alignment horizontal="center" vertical="center" wrapText="1"/>
    </xf>
    <xf numFmtId="4" fontId="20" fillId="0" borderId="20" xfId="0" applyNumberFormat="1" applyFont="1" applyBorder="1" applyAlignment="1">
      <alignment horizontal="center"/>
    </xf>
    <xf numFmtId="4" fontId="20" fillId="0" borderId="6" xfId="0" applyNumberFormat="1" applyFont="1" applyBorder="1" applyAlignment="1">
      <alignment horizontal="center"/>
    </xf>
  </cellXfs>
  <cellStyles count="5">
    <cellStyle name="Moeda" xfId="2" builtinId="4"/>
    <cellStyle name="Normal" xfId="0" builtinId="0"/>
    <cellStyle name="Normal 2" xfId="4" xr:uid="{5A411F2C-DC44-49C5-850A-D0FCDA3B4EC5}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112058</xdr:colOff>
      <xdr:row>1</xdr:row>
      <xdr:rowOff>33618</xdr:rowOff>
    </xdr:from>
    <xdr:to>
      <xdr:col>3</xdr:col>
      <xdr:colOff>1884</xdr:colOff>
      <xdr:row>1</xdr:row>
      <xdr:rowOff>434620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540115-24A5-46DA-83A4-19F92EEAD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883" y="224118"/>
          <a:ext cx="1109026" cy="4010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8.%20PROJETOS/26.%20Impermeabiliza&#231;&#227;o%20Espa&#231;o%20Corpo%20&amp;%20Mente/Fiscaliza&#231;&#227;o/Medi&#231;&#227;o%202/BM%20%202&#186;%20MEDI&#199;&#195;O%2001-01%20A%2031-01-2026.xlsx" TargetMode="External"/><Relationship Id="rId1" Type="http://schemas.openxmlformats.org/officeDocument/2006/relationships/externalLinkPath" Target="/sites/SESAP/Shared%20Documents/General/SESAP/08.%20PROJETOS/26.%20Impermeabiliza&#231;&#227;o%20Espa&#231;o%20Corpo%20&amp;%20Mente/Fiscaliza&#231;&#227;o/Medi&#231;&#227;o%202/BM%20%202&#186;%20MEDI&#199;&#195;O%2001-01%20A%2031-0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M 2º MEDIÇÃO 01-01 A 31-01"/>
      <sheetName val="BM 2º MEMORIA DE CÁLCULO"/>
      <sheetName val="Encargos Sociais"/>
      <sheetName val="bdi_SOMNIUM"/>
      <sheetName val="CPUs_SOMNIUM"/>
      <sheetName val="Resumo do Orçamento_SOMNIUM"/>
      <sheetName val="CRONOGRAMA-FÍSICO FINAN_SOMNIUM"/>
      <sheetName val="Curva ABC de Serviços_SOMNIUM"/>
    </sheetNames>
    <sheetDataSet>
      <sheetData sheetId="0"/>
      <sheetData sheetId="1">
        <row r="48">
          <cell r="E48">
            <v>369.44550000000004</v>
          </cell>
        </row>
      </sheetData>
      <sheetData sheetId="2"/>
      <sheetData sheetId="3">
        <row r="20">
          <cell r="F20">
            <v>0.20573046619937663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7E7B-7778-4E4D-8F2C-001AB6CCD510}">
  <sheetPr>
    <tabColor theme="9" tint="0.59999389629810485"/>
    <pageSetUpPr fitToPage="1"/>
  </sheetPr>
  <dimension ref="A1:AN53"/>
  <sheetViews>
    <sheetView showGridLines="0" tabSelected="1" showWhiteSpace="0" view="pageBreakPreview" topLeftCell="M34" zoomScale="70" zoomScaleNormal="70" zoomScaleSheetLayoutView="70" workbookViewId="0">
      <selection activeCell="AH51" sqref="AH51"/>
    </sheetView>
  </sheetViews>
  <sheetFormatPr defaultRowHeight="14.25" x14ac:dyDescent="0.2"/>
  <cols>
    <col min="1" max="1" width="6.625" customWidth="1"/>
    <col min="2" max="2" width="10" bestFit="1" customWidth="1"/>
    <col min="3" max="3" width="16" customWidth="1"/>
    <col min="4" max="4" width="60" bestFit="1" customWidth="1"/>
    <col min="5" max="5" width="5" bestFit="1" customWidth="1"/>
    <col min="6" max="6" width="10" bestFit="1" customWidth="1"/>
    <col min="7" max="10" width="12.375" customWidth="1"/>
    <col min="11" max="11" width="12.75" customWidth="1"/>
    <col min="12" max="15" width="12.375" customWidth="1"/>
    <col min="16" max="16" width="21.25" customWidth="1"/>
    <col min="17" max="17" width="14.625" customWidth="1"/>
    <col min="18" max="18" width="11.125" customWidth="1"/>
    <col min="19" max="19" width="2.5" style="3" customWidth="1"/>
    <col min="20" max="20" width="17.5" customWidth="1"/>
    <col min="21" max="21" width="19" customWidth="1"/>
    <col min="22" max="22" width="13.125" customWidth="1"/>
    <col min="23" max="23" width="21.25" customWidth="1"/>
    <col min="24" max="24" width="13.125" hidden="1" customWidth="1"/>
    <col min="25" max="25" width="17" hidden="1" customWidth="1"/>
    <col min="26" max="26" width="1.25" customWidth="1"/>
    <col min="27" max="27" width="14.625" customWidth="1"/>
    <col min="28" max="28" width="19.25" customWidth="1"/>
    <col min="29" max="29" width="13.25" customWidth="1"/>
    <col min="30" max="30" width="20.875" customWidth="1"/>
    <col min="31" max="31" width="12.75" hidden="1" customWidth="1"/>
    <col min="32" max="32" width="17.25" hidden="1" customWidth="1"/>
    <col min="33" max="33" width="1.625" customWidth="1"/>
    <col min="34" max="34" width="15.25" customWidth="1"/>
    <col min="35" max="35" width="13.875" customWidth="1"/>
    <col min="36" max="36" width="17.75" customWidth="1"/>
    <col min="37" max="37" width="17.375" bestFit="1" customWidth="1"/>
    <col min="38" max="38" width="15.875" customWidth="1"/>
    <col min="39" max="39" width="10.5" bestFit="1" customWidth="1"/>
  </cols>
  <sheetData>
    <row r="1" spans="1:39" ht="15" x14ac:dyDescent="0.2">
      <c r="A1" s="1"/>
      <c r="B1" s="1"/>
      <c r="C1" s="1"/>
      <c r="D1" s="1" t="s">
        <v>0</v>
      </c>
      <c r="E1" s="105" t="s">
        <v>1</v>
      </c>
      <c r="F1" s="105"/>
      <c r="G1" s="1"/>
      <c r="H1" s="1"/>
      <c r="I1" s="1"/>
      <c r="J1" s="1"/>
      <c r="K1" s="1"/>
      <c r="L1" s="105" t="s">
        <v>2</v>
      </c>
      <c r="M1" s="105"/>
      <c r="N1" s="105"/>
      <c r="O1" s="105" t="s">
        <v>3</v>
      </c>
      <c r="P1" s="105"/>
      <c r="Q1" s="105"/>
      <c r="R1" s="105"/>
      <c r="S1" s="105"/>
      <c r="T1" s="105"/>
    </row>
    <row r="2" spans="1:39" ht="55.5" customHeight="1" x14ac:dyDescent="0.2">
      <c r="A2" s="2"/>
      <c r="B2" s="2"/>
      <c r="C2" s="2"/>
      <c r="D2" s="2" t="s">
        <v>4</v>
      </c>
      <c r="E2" s="106" t="s">
        <v>5</v>
      </c>
      <c r="F2" s="106"/>
      <c r="G2" s="2"/>
      <c r="H2" s="2"/>
      <c r="I2" s="2"/>
      <c r="J2" s="2"/>
      <c r="K2" s="2"/>
      <c r="L2" s="107"/>
      <c r="M2" s="106"/>
      <c r="N2" s="106"/>
      <c r="O2" s="106" t="s">
        <v>6</v>
      </c>
      <c r="P2" s="106"/>
      <c r="Q2" s="106"/>
      <c r="R2" s="106"/>
      <c r="S2" s="106"/>
      <c r="T2" s="106"/>
    </row>
    <row r="3" spans="1:39" ht="25.5" customHeight="1" x14ac:dyDescent="0.2">
      <c r="A3" s="110" t="s">
        <v>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2"/>
    </row>
    <row r="4" spans="1:39" ht="15" customHeight="1" x14ac:dyDescent="0.2">
      <c r="A4" s="113" t="s">
        <v>8</v>
      </c>
      <c r="B4" s="113" t="s">
        <v>9</v>
      </c>
      <c r="C4" s="113" t="s">
        <v>10</v>
      </c>
      <c r="D4" s="113" t="s">
        <v>11</v>
      </c>
      <c r="E4" s="113" t="s">
        <v>12</v>
      </c>
      <c r="F4" s="113" t="s">
        <v>13</v>
      </c>
      <c r="G4" s="4" t="s">
        <v>14</v>
      </c>
      <c r="H4" s="4"/>
      <c r="I4" s="4"/>
      <c r="J4" s="4"/>
      <c r="K4" s="113" t="s">
        <v>15</v>
      </c>
      <c r="L4" s="4" t="s">
        <v>16</v>
      </c>
      <c r="M4" s="4"/>
      <c r="N4" s="4"/>
      <c r="O4" s="4"/>
      <c r="P4" s="113" t="s">
        <v>17</v>
      </c>
      <c r="Q4" s="113" t="s">
        <v>18</v>
      </c>
      <c r="R4" s="113" t="s">
        <v>19</v>
      </c>
      <c r="T4" s="123" t="s">
        <v>20</v>
      </c>
      <c r="U4" s="123"/>
      <c r="V4" s="123"/>
      <c r="W4" s="123"/>
      <c r="X4" s="125" t="s">
        <v>21</v>
      </c>
      <c r="Y4" s="125"/>
      <c r="AA4" s="123" t="s">
        <v>22</v>
      </c>
      <c r="AB4" s="123"/>
      <c r="AC4" s="123"/>
      <c r="AD4" s="123"/>
      <c r="AE4" s="125" t="s">
        <v>21</v>
      </c>
      <c r="AF4" s="125"/>
      <c r="AH4" s="123" t="s">
        <v>139</v>
      </c>
      <c r="AI4" s="123"/>
      <c r="AJ4" s="123"/>
      <c r="AK4" s="123"/>
      <c r="AL4" s="125" t="s">
        <v>21</v>
      </c>
      <c r="AM4" s="125"/>
    </row>
    <row r="5" spans="1:39" ht="15" customHeight="1" thickBot="1" x14ac:dyDescent="0.25">
      <c r="A5" s="113"/>
      <c r="B5" s="113"/>
      <c r="C5" s="113"/>
      <c r="D5" s="113"/>
      <c r="E5" s="113"/>
      <c r="F5" s="113"/>
      <c r="G5" s="5" t="s">
        <v>23</v>
      </c>
      <c r="H5" s="5" t="s">
        <v>24</v>
      </c>
      <c r="I5" s="5" t="s">
        <v>25</v>
      </c>
      <c r="J5" s="5" t="s">
        <v>26</v>
      </c>
      <c r="K5" s="113" t="s">
        <v>27</v>
      </c>
      <c r="L5" s="5" t="s">
        <v>23</v>
      </c>
      <c r="M5" s="5" t="s">
        <v>24</v>
      </c>
      <c r="N5" s="5" t="s">
        <v>25</v>
      </c>
      <c r="O5" s="5" t="s">
        <v>26</v>
      </c>
      <c r="P5" s="113" t="s">
        <v>27</v>
      </c>
      <c r="Q5" s="113"/>
      <c r="R5" s="113"/>
      <c r="T5" s="124"/>
      <c r="U5" s="124"/>
      <c r="V5" s="124"/>
      <c r="W5" s="124"/>
      <c r="X5" s="126"/>
      <c r="Y5" s="126"/>
      <c r="AA5" s="124"/>
      <c r="AB5" s="124"/>
      <c r="AC5" s="124"/>
      <c r="AD5" s="124"/>
      <c r="AE5" s="126"/>
      <c r="AF5" s="126"/>
      <c r="AH5" s="124"/>
      <c r="AI5" s="124"/>
      <c r="AJ5" s="124"/>
      <c r="AK5" s="124"/>
      <c r="AL5" s="126"/>
      <c r="AM5" s="126"/>
    </row>
    <row r="6" spans="1:39" ht="43.9" customHeight="1" x14ac:dyDescent="0.2">
      <c r="A6" s="6" t="s">
        <v>28</v>
      </c>
      <c r="B6" s="6"/>
      <c r="C6" s="6"/>
      <c r="D6" s="6" t="s">
        <v>29</v>
      </c>
      <c r="E6" s="6"/>
      <c r="F6" s="7"/>
      <c r="G6" s="8"/>
      <c r="H6" s="8"/>
      <c r="I6" s="8"/>
      <c r="J6" s="8"/>
      <c r="K6" s="9"/>
      <c r="L6" s="8"/>
      <c r="M6" s="8"/>
      <c r="N6" s="8"/>
      <c r="O6" s="8"/>
      <c r="P6" s="9"/>
      <c r="Q6" s="10">
        <f>SUM(P7)</f>
        <v>122.75</v>
      </c>
      <c r="R6" s="11">
        <f>Q6/$Q$49</f>
        <v>4.9153618733459206E-4</v>
      </c>
      <c r="T6" s="12" t="s">
        <v>30</v>
      </c>
      <c r="U6" s="13" t="s">
        <v>31</v>
      </c>
      <c r="V6" s="14" t="s">
        <v>32</v>
      </c>
      <c r="W6" s="15" t="s">
        <v>33</v>
      </c>
      <c r="X6" s="16" t="s">
        <v>34</v>
      </c>
      <c r="Y6" s="17" t="s">
        <v>35</v>
      </c>
      <c r="AA6" s="12" t="s">
        <v>30</v>
      </c>
      <c r="AB6" s="13" t="s">
        <v>31</v>
      </c>
      <c r="AC6" s="14" t="s">
        <v>32</v>
      </c>
      <c r="AD6" s="15" t="s">
        <v>33</v>
      </c>
      <c r="AE6" s="16" t="s">
        <v>34</v>
      </c>
      <c r="AF6" s="17" t="s">
        <v>35</v>
      </c>
      <c r="AH6" s="12" t="s">
        <v>30</v>
      </c>
      <c r="AI6" s="13" t="s">
        <v>31</v>
      </c>
      <c r="AJ6" s="14" t="s">
        <v>32</v>
      </c>
      <c r="AK6" s="15" t="s">
        <v>33</v>
      </c>
      <c r="AL6" s="16" t="s">
        <v>34</v>
      </c>
      <c r="AM6" s="17" t="s">
        <v>35</v>
      </c>
    </row>
    <row r="7" spans="1:39" ht="24" customHeight="1" x14ac:dyDescent="0.2">
      <c r="A7" s="18" t="s">
        <v>36</v>
      </c>
      <c r="B7" s="19" t="s">
        <v>37</v>
      </c>
      <c r="C7" s="18" t="s">
        <v>38</v>
      </c>
      <c r="D7" s="18" t="s">
        <v>39</v>
      </c>
      <c r="E7" s="20" t="s">
        <v>40</v>
      </c>
      <c r="F7" s="21">
        <v>1</v>
      </c>
      <c r="G7" s="22">
        <v>0</v>
      </c>
      <c r="H7" s="22">
        <v>101.8</v>
      </c>
      <c r="I7" s="22">
        <v>0</v>
      </c>
      <c r="J7" s="22">
        <f>SUM(G7:I7)</f>
        <v>101.8</v>
      </c>
      <c r="K7" s="22">
        <f>ROUND(F7*J7,2)</f>
        <v>101.8</v>
      </c>
      <c r="L7" s="22">
        <f>ROUND(G7*(1+$P$48),2)</f>
        <v>0</v>
      </c>
      <c r="M7" s="22">
        <f>ROUNDUP(H7*(1+$P$48),2)</f>
        <v>122.75</v>
      </c>
      <c r="N7" s="22">
        <f>ROUND(I7*(1+$P$48),2)</f>
        <v>0</v>
      </c>
      <c r="O7" s="22">
        <f>SUM(L7:N7)</f>
        <v>122.75</v>
      </c>
      <c r="P7" s="22">
        <f>ROUND(F7*O7,2)</f>
        <v>122.75</v>
      </c>
      <c r="Q7" s="22"/>
      <c r="R7" s="23">
        <f t="shared" ref="R7:R46" si="0">P7/$Q$49</f>
        <v>4.9153618733459206E-4</v>
      </c>
      <c r="T7" s="24">
        <v>0</v>
      </c>
      <c r="U7" s="25">
        <v>1</v>
      </c>
      <c r="V7" s="26">
        <v>1</v>
      </c>
      <c r="W7" s="27">
        <f>P7*U7</f>
        <v>122.75</v>
      </c>
      <c r="X7" s="28">
        <f>100%-T7-U7</f>
        <v>0</v>
      </c>
      <c r="Y7" s="29">
        <f>P7*X7</f>
        <v>0</v>
      </c>
      <c r="AA7" s="24">
        <f>U7</f>
        <v>1</v>
      </c>
      <c r="AB7" s="25">
        <v>0</v>
      </c>
      <c r="AC7" s="26">
        <v>0</v>
      </c>
      <c r="AD7" s="27">
        <f>W7*AB7</f>
        <v>0</v>
      </c>
      <c r="AE7" s="28">
        <f>X7-AB7</f>
        <v>0</v>
      </c>
      <c r="AF7" s="29">
        <f>Y7-AD7</f>
        <v>0</v>
      </c>
      <c r="AH7" s="24">
        <f>SUM(U7+AB7)</f>
        <v>1</v>
      </c>
      <c r="AI7" s="25">
        <v>0</v>
      </c>
      <c r="AJ7" s="26">
        <v>0</v>
      </c>
      <c r="AK7" s="27">
        <f>AD7*AI7</f>
        <v>0</v>
      </c>
      <c r="AL7" s="28">
        <f>AE7-AI7</f>
        <v>0</v>
      </c>
      <c r="AM7" s="29">
        <f>AF7-AK7</f>
        <v>0</v>
      </c>
    </row>
    <row r="8" spans="1:39" ht="42" customHeight="1" x14ac:dyDescent="0.2">
      <c r="A8" s="6" t="s">
        <v>41</v>
      </c>
      <c r="B8" s="6"/>
      <c r="C8" s="6"/>
      <c r="D8" s="6" t="s">
        <v>42</v>
      </c>
      <c r="E8" s="6"/>
      <c r="F8" s="7"/>
      <c r="G8" s="10"/>
      <c r="H8" s="10"/>
      <c r="I8" s="10"/>
      <c r="J8" s="10"/>
      <c r="K8" s="10"/>
      <c r="L8" s="10"/>
      <c r="M8" s="10"/>
      <c r="N8" s="10"/>
      <c r="O8" s="10"/>
      <c r="P8" s="10"/>
      <c r="Q8" s="10">
        <f>SUM(P10:P28)</f>
        <v>49271.399999999994</v>
      </c>
      <c r="R8" s="11">
        <f t="shared" ref="R8:R9" si="1">Q8/$Q$49</f>
        <v>0.19730082363044901</v>
      </c>
      <c r="T8" s="24" t="s">
        <v>43</v>
      </c>
      <c r="U8" s="25" t="s">
        <v>43</v>
      </c>
      <c r="V8" s="26" t="s">
        <v>43</v>
      </c>
      <c r="W8" s="27" t="s">
        <v>43</v>
      </c>
      <c r="X8" s="30"/>
      <c r="Y8" s="29"/>
      <c r="AA8" s="24" t="str">
        <f t="shared" ref="AA8:AA46" si="2">U8</f>
        <v>-</v>
      </c>
      <c r="AB8" s="25" t="s">
        <v>43</v>
      </c>
      <c r="AC8" s="26" t="s">
        <v>43</v>
      </c>
      <c r="AD8" s="27" t="s">
        <v>43</v>
      </c>
      <c r="AE8" s="28" t="s">
        <v>43</v>
      </c>
      <c r="AF8" s="29" t="s">
        <v>43</v>
      </c>
      <c r="AH8" s="24" t="str">
        <f t="shared" ref="AH8:AH29" si="3">AB8</f>
        <v>-</v>
      </c>
      <c r="AI8" s="25" t="s">
        <v>43</v>
      </c>
      <c r="AJ8" s="26" t="s">
        <v>43</v>
      </c>
      <c r="AK8" s="27" t="s">
        <v>43</v>
      </c>
      <c r="AL8" s="28" t="s">
        <v>43</v>
      </c>
      <c r="AM8" s="29" t="s">
        <v>43</v>
      </c>
    </row>
    <row r="9" spans="1:39" ht="24" customHeight="1" x14ac:dyDescent="0.2">
      <c r="A9" s="31" t="s">
        <v>44</v>
      </c>
      <c r="B9" s="31"/>
      <c r="C9" s="31"/>
      <c r="D9" s="31" t="s">
        <v>45</v>
      </c>
      <c r="E9" s="31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4">
        <f>SUM(P10:P18)</f>
        <v>33858.149999999994</v>
      </c>
      <c r="R9" s="35">
        <f t="shared" si="1"/>
        <v>0.1355804966289427</v>
      </c>
      <c r="T9" s="24" t="s">
        <v>43</v>
      </c>
      <c r="U9" s="25" t="s">
        <v>43</v>
      </c>
      <c r="V9" s="26" t="s">
        <v>43</v>
      </c>
      <c r="W9" s="27" t="s">
        <v>43</v>
      </c>
      <c r="X9" s="30"/>
      <c r="Y9" s="29"/>
      <c r="AA9" s="24" t="str">
        <f t="shared" si="2"/>
        <v>-</v>
      </c>
      <c r="AB9" s="25" t="s">
        <v>43</v>
      </c>
      <c r="AC9" s="26" t="s">
        <v>43</v>
      </c>
      <c r="AD9" s="27" t="s">
        <v>43</v>
      </c>
      <c r="AE9" s="28" t="s">
        <v>43</v>
      </c>
      <c r="AF9" s="29" t="s">
        <v>43</v>
      </c>
      <c r="AH9" s="24" t="str">
        <f t="shared" si="3"/>
        <v>-</v>
      </c>
      <c r="AI9" s="25" t="s">
        <v>43</v>
      </c>
      <c r="AJ9" s="26" t="s">
        <v>43</v>
      </c>
      <c r="AK9" s="27" t="s">
        <v>43</v>
      </c>
      <c r="AL9" s="28" t="s">
        <v>43</v>
      </c>
      <c r="AM9" s="29" t="s">
        <v>43</v>
      </c>
    </row>
    <row r="10" spans="1:39" ht="25.9" customHeight="1" x14ac:dyDescent="0.2">
      <c r="A10" s="36" t="s">
        <v>46</v>
      </c>
      <c r="B10" s="37">
        <v>105116</v>
      </c>
      <c r="C10" s="36" t="s">
        <v>47</v>
      </c>
      <c r="D10" s="36" t="s">
        <v>48</v>
      </c>
      <c r="E10" s="38" t="s">
        <v>49</v>
      </c>
      <c r="F10" s="39">
        <v>1</v>
      </c>
      <c r="G10" s="40">
        <v>8.7200000000000006</v>
      </c>
      <c r="H10" s="40">
        <v>0.26</v>
      </c>
      <c r="I10" s="40">
        <v>2</v>
      </c>
      <c r="J10" s="40">
        <f>SUM(G10:I10)</f>
        <v>10.98</v>
      </c>
      <c r="K10" s="40">
        <f>ROUND(F10*J10,2)</f>
        <v>10.98</v>
      </c>
      <c r="L10" s="40">
        <f t="shared" ref="L10:N25" si="4">ROUND(G10*(1+$P$48),2)</f>
        <v>10.51</v>
      </c>
      <c r="M10" s="40">
        <f t="shared" si="4"/>
        <v>0.31</v>
      </c>
      <c r="N10" s="40">
        <f t="shared" si="4"/>
        <v>2.41</v>
      </c>
      <c r="O10" s="40">
        <f t="shared" ref="O10:O18" si="5">SUM(L10:N10)</f>
        <v>13.23</v>
      </c>
      <c r="P10" s="40">
        <f t="shared" ref="P10:P17" si="6">ROUND(F10*O10,2)</f>
        <v>13.23</v>
      </c>
      <c r="Q10" s="40"/>
      <c r="R10" s="41">
        <f t="shared" si="0"/>
        <v>5.2977790292762958E-5</v>
      </c>
      <c r="T10" s="24">
        <v>0</v>
      </c>
      <c r="U10" s="25">
        <v>0.5</v>
      </c>
      <c r="V10" s="26">
        <f>U10*F10</f>
        <v>0.5</v>
      </c>
      <c r="W10" s="27">
        <f t="shared" ref="W10:W18" si="7">P10*U10</f>
        <v>6.6150000000000002</v>
      </c>
      <c r="X10" s="28">
        <f t="shared" ref="X10:X18" si="8">100%-T10-U10</f>
        <v>0.5</v>
      </c>
      <c r="Y10" s="29">
        <f t="shared" ref="Y10:Y18" si="9">P10*X10</f>
        <v>6.6150000000000002</v>
      </c>
      <c r="AA10" s="24">
        <f t="shared" si="2"/>
        <v>0.5</v>
      </c>
      <c r="AB10" s="25">
        <v>0</v>
      </c>
      <c r="AC10" s="26">
        <f t="shared" ref="AC10:AC18" si="10">AB10*M10</f>
        <v>0</v>
      </c>
      <c r="AD10" s="27">
        <f t="shared" ref="AD10:AD18" si="11">W10*AB10</f>
        <v>0</v>
      </c>
      <c r="AE10" s="28">
        <f t="shared" ref="AE10:AE46" si="12">X10-AB10</f>
        <v>0.5</v>
      </c>
      <c r="AF10" s="29">
        <f t="shared" ref="AF10:AF45" si="13">Y10-AD10</f>
        <v>6.6150000000000002</v>
      </c>
      <c r="AH10" s="24">
        <f t="shared" ref="AH10:AH18" si="14">SUM(U10+AB10)</f>
        <v>0.5</v>
      </c>
      <c r="AI10" s="25">
        <v>0.5</v>
      </c>
      <c r="AJ10" s="26">
        <f t="shared" ref="AJ10:AJ18" si="15">AI10*F10</f>
        <v>0.5</v>
      </c>
      <c r="AK10" s="27">
        <f>AJ10*P10</f>
        <v>6.6150000000000002</v>
      </c>
      <c r="AL10" s="28">
        <f t="shared" ref="AL10:AL18" si="16">AE10-AI10</f>
        <v>0</v>
      </c>
      <c r="AM10" s="29">
        <f t="shared" ref="AM10:AM18" si="17">AF10-AK10</f>
        <v>0</v>
      </c>
    </row>
    <row r="11" spans="1:39" ht="39" customHeight="1" x14ac:dyDescent="0.2">
      <c r="A11" s="18" t="s">
        <v>50</v>
      </c>
      <c r="B11" s="42">
        <v>4813</v>
      </c>
      <c r="C11" s="18" t="s">
        <v>47</v>
      </c>
      <c r="D11" s="18" t="s">
        <v>51</v>
      </c>
      <c r="E11" s="20" t="s">
        <v>52</v>
      </c>
      <c r="F11" s="22">
        <v>2.88</v>
      </c>
      <c r="G11" s="22">
        <v>0</v>
      </c>
      <c r="H11" s="22">
        <v>0</v>
      </c>
      <c r="I11" s="22">
        <v>200</v>
      </c>
      <c r="J11" s="22">
        <f>SUM(G11:I11)</f>
        <v>200</v>
      </c>
      <c r="K11" s="22">
        <f>TRUNC(F11*J11,2)</f>
        <v>576</v>
      </c>
      <c r="L11" s="22">
        <f t="shared" si="4"/>
        <v>0</v>
      </c>
      <c r="M11" s="22">
        <f t="shared" si="4"/>
        <v>0</v>
      </c>
      <c r="N11" s="22">
        <f>ROUNDUP(I11*(1+$P$48),2)+0.01</f>
        <v>241.15999999999997</v>
      </c>
      <c r="O11" s="22">
        <f t="shared" si="5"/>
        <v>241.15999999999997</v>
      </c>
      <c r="P11" s="22">
        <f t="shared" si="6"/>
        <v>694.54</v>
      </c>
      <c r="Q11" s="22"/>
      <c r="R11" s="23">
        <f t="shared" si="0"/>
        <v>2.7811938374856827E-3</v>
      </c>
      <c r="T11" s="24">
        <v>0</v>
      </c>
      <c r="U11" s="25">
        <v>1</v>
      </c>
      <c r="V11" s="26">
        <f t="shared" ref="V11:V18" si="18">U11*F11</f>
        <v>2.88</v>
      </c>
      <c r="W11" s="27">
        <f t="shared" si="7"/>
        <v>694.54</v>
      </c>
      <c r="X11" s="28">
        <f t="shared" si="8"/>
        <v>0</v>
      </c>
      <c r="Y11" s="29">
        <f t="shared" si="9"/>
        <v>0</v>
      </c>
      <c r="AA11" s="24">
        <f t="shared" si="2"/>
        <v>1</v>
      </c>
      <c r="AB11" s="25">
        <v>0</v>
      </c>
      <c r="AC11" s="26">
        <f t="shared" si="10"/>
        <v>0</v>
      </c>
      <c r="AD11" s="27">
        <f t="shared" si="11"/>
        <v>0</v>
      </c>
      <c r="AE11" s="28">
        <f t="shared" si="12"/>
        <v>0</v>
      </c>
      <c r="AF11" s="29">
        <f t="shared" si="13"/>
        <v>0</v>
      </c>
      <c r="AH11" s="24">
        <f t="shared" si="14"/>
        <v>1</v>
      </c>
      <c r="AI11" s="25">
        <v>0</v>
      </c>
      <c r="AJ11" s="26">
        <f t="shared" si="15"/>
        <v>0</v>
      </c>
      <c r="AK11" s="27">
        <f>AJ11*P11</f>
        <v>0</v>
      </c>
      <c r="AL11" s="28">
        <f t="shared" si="16"/>
        <v>0</v>
      </c>
      <c r="AM11" s="29">
        <f t="shared" si="17"/>
        <v>0</v>
      </c>
    </row>
    <row r="12" spans="1:39" ht="25.9" customHeight="1" x14ac:dyDescent="0.2">
      <c r="A12" s="36" t="s">
        <v>53</v>
      </c>
      <c r="B12" s="37">
        <v>105114</v>
      </c>
      <c r="C12" s="36" t="s">
        <v>47</v>
      </c>
      <c r="D12" s="36" t="s">
        <v>54</v>
      </c>
      <c r="E12" s="38" t="s">
        <v>55</v>
      </c>
      <c r="F12" s="39">
        <v>2.76</v>
      </c>
      <c r="G12" s="40">
        <v>765.59</v>
      </c>
      <c r="H12" s="40">
        <v>25.73</v>
      </c>
      <c r="I12" s="40">
        <v>579.09</v>
      </c>
      <c r="J12" s="40">
        <f t="shared" ref="J12:J18" si="19">SUM(G12:I12)</f>
        <v>1370.41</v>
      </c>
      <c r="K12" s="40">
        <f>TRUNC(F12*J12,2)</f>
        <v>3782.33</v>
      </c>
      <c r="L12" s="40">
        <f>ROUND(G12*(1+$P$48),2)+0.05</f>
        <v>923.15</v>
      </c>
      <c r="M12" s="40">
        <f t="shared" si="4"/>
        <v>31.02</v>
      </c>
      <c r="N12" s="40">
        <f>ROUND(I12*(1+$P$48),2)+0.04</f>
        <v>698.27</v>
      </c>
      <c r="O12" s="40">
        <f t="shared" si="5"/>
        <v>1652.44</v>
      </c>
      <c r="P12" s="40">
        <f t="shared" si="6"/>
        <v>4560.7299999999996</v>
      </c>
      <c r="Q12" s="40"/>
      <c r="R12" s="41">
        <f t="shared" si="0"/>
        <v>1.8262841838390987E-2</v>
      </c>
      <c r="T12" s="24">
        <v>0</v>
      </c>
      <c r="U12" s="25">
        <v>1</v>
      </c>
      <c r="V12" s="26">
        <f t="shared" si="18"/>
        <v>2.76</v>
      </c>
      <c r="W12" s="27">
        <f t="shared" si="7"/>
        <v>4560.7299999999996</v>
      </c>
      <c r="X12" s="28">
        <f t="shared" si="8"/>
        <v>0</v>
      </c>
      <c r="Y12" s="29">
        <f t="shared" si="9"/>
        <v>0</v>
      </c>
      <c r="AA12" s="24">
        <f t="shared" si="2"/>
        <v>1</v>
      </c>
      <c r="AB12" s="25">
        <v>0</v>
      </c>
      <c r="AC12" s="26">
        <f t="shared" si="10"/>
        <v>0</v>
      </c>
      <c r="AD12" s="27">
        <f t="shared" si="11"/>
        <v>0</v>
      </c>
      <c r="AE12" s="28">
        <f t="shared" si="12"/>
        <v>0</v>
      </c>
      <c r="AF12" s="29">
        <f t="shared" si="13"/>
        <v>0</v>
      </c>
      <c r="AH12" s="24">
        <f t="shared" si="14"/>
        <v>1</v>
      </c>
      <c r="AI12" s="25">
        <v>0</v>
      </c>
      <c r="AJ12" s="26">
        <f t="shared" si="15"/>
        <v>0</v>
      </c>
      <c r="AK12" s="27">
        <f>AJ12*P12</f>
        <v>0</v>
      </c>
      <c r="AL12" s="28">
        <f t="shared" si="16"/>
        <v>0</v>
      </c>
      <c r="AM12" s="29">
        <f t="shared" si="17"/>
        <v>0</v>
      </c>
    </row>
    <row r="13" spans="1:39" ht="52.15" customHeight="1" x14ac:dyDescent="0.2">
      <c r="A13" s="18" t="s">
        <v>56</v>
      </c>
      <c r="B13" s="42">
        <v>10775</v>
      </c>
      <c r="C13" s="18" t="s">
        <v>47</v>
      </c>
      <c r="D13" s="18" t="s">
        <v>57</v>
      </c>
      <c r="E13" s="20" t="s">
        <v>58</v>
      </c>
      <c r="F13" s="42">
        <v>3</v>
      </c>
      <c r="G13" s="22">
        <v>0</v>
      </c>
      <c r="H13" s="22">
        <v>577.19000000000005</v>
      </c>
      <c r="I13" s="22">
        <v>0</v>
      </c>
      <c r="J13" s="22">
        <f t="shared" si="19"/>
        <v>577.19000000000005</v>
      </c>
      <c r="K13" s="22">
        <f t="shared" ref="K13:K46" si="20">TRUNC(F13*J13,2)</f>
        <v>1731.57</v>
      </c>
      <c r="L13" s="22">
        <f t="shared" si="4"/>
        <v>0</v>
      </c>
      <c r="M13" s="22">
        <f>ROUND(H13*(1+$P$48),2)+0.03</f>
        <v>695.97</v>
      </c>
      <c r="N13" s="22">
        <f t="shared" si="4"/>
        <v>0</v>
      </c>
      <c r="O13" s="22">
        <f t="shared" si="5"/>
        <v>695.97</v>
      </c>
      <c r="P13" s="22">
        <f t="shared" si="6"/>
        <v>2087.91</v>
      </c>
      <c r="Q13" s="22"/>
      <c r="R13" s="23">
        <f t="shared" si="0"/>
        <v>8.3607602517129769E-3</v>
      </c>
      <c r="T13" s="24">
        <v>0</v>
      </c>
      <c r="U13" s="25">
        <v>0.33333299999999999</v>
      </c>
      <c r="V13" s="26">
        <f t="shared" si="18"/>
        <v>0.99999899999999997</v>
      </c>
      <c r="W13" s="27">
        <f t="shared" si="7"/>
        <v>695.96930402999988</v>
      </c>
      <c r="X13" s="28">
        <f t="shared" si="8"/>
        <v>0.66666700000000001</v>
      </c>
      <c r="Y13" s="29">
        <f t="shared" si="9"/>
        <v>1391.94069597</v>
      </c>
      <c r="AA13" s="24">
        <f t="shared" si="2"/>
        <v>0.33333299999999999</v>
      </c>
      <c r="AB13" s="25">
        <v>0.33333299999999999</v>
      </c>
      <c r="AC13" s="26">
        <f>AB13*F13</f>
        <v>0.99999899999999997</v>
      </c>
      <c r="AD13" s="27">
        <f>AB13*P13</f>
        <v>695.96930402999988</v>
      </c>
      <c r="AE13" s="28">
        <f t="shared" si="12"/>
        <v>0.33333400000000002</v>
      </c>
      <c r="AF13" s="29">
        <f t="shared" si="13"/>
        <v>695.9713919400001</v>
      </c>
      <c r="AH13" s="24">
        <f t="shared" si="14"/>
        <v>0.66666599999999998</v>
      </c>
      <c r="AI13" s="25">
        <v>0.33333299999999999</v>
      </c>
      <c r="AJ13" s="26">
        <f t="shared" si="15"/>
        <v>0.99999899999999997</v>
      </c>
      <c r="AK13" s="27">
        <f>AJ13*O13</f>
        <v>695.96930402999999</v>
      </c>
      <c r="AL13" s="28">
        <f t="shared" si="16"/>
        <v>1.0000000000287557E-6</v>
      </c>
      <c r="AM13" s="29">
        <f t="shared" si="17"/>
        <v>2.0879100001138795E-3</v>
      </c>
    </row>
    <row r="14" spans="1:39" ht="25.9" customHeight="1" x14ac:dyDescent="0.2">
      <c r="A14" s="36" t="s">
        <v>59</v>
      </c>
      <c r="B14" s="37">
        <v>105127</v>
      </c>
      <c r="C14" s="36" t="s">
        <v>47</v>
      </c>
      <c r="D14" s="36" t="s">
        <v>60</v>
      </c>
      <c r="E14" s="38" t="s">
        <v>61</v>
      </c>
      <c r="F14" s="37">
        <v>65</v>
      </c>
      <c r="G14" s="40">
        <v>3.17</v>
      </c>
      <c r="H14" s="40">
        <v>0.09</v>
      </c>
      <c r="I14" s="40">
        <v>11.65</v>
      </c>
      <c r="J14" s="40">
        <f t="shared" si="19"/>
        <v>14.91</v>
      </c>
      <c r="K14" s="40">
        <f t="shared" si="20"/>
        <v>969.15</v>
      </c>
      <c r="L14" s="40">
        <f t="shared" si="4"/>
        <v>3.82</v>
      </c>
      <c r="M14" s="40">
        <f t="shared" si="4"/>
        <v>0.11</v>
      </c>
      <c r="N14" s="40">
        <f>TRUNC(I14*(1+$P$48),2)</f>
        <v>14.04</v>
      </c>
      <c r="O14" s="40">
        <f t="shared" si="5"/>
        <v>17.97</v>
      </c>
      <c r="P14" s="40">
        <f t="shared" si="6"/>
        <v>1168.05</v>
      </c>
      <c r="Q14" s="40"/>
      <c r="R14" s="41">
        <f t="shared" si="0"/>
        <v>4.6773021883191055E-3</v>
      </c>
      <c r="T14" s="24">
        <v>0</v>
      </c>
      <c r="U14" s="25">
        <v>0</v>
      </c>
      <c r="V14" s="26">
        <f t="shared" si="18"/>
        <v>0</v>
      </c>
      <c r="W14" s="27">
        <f t="shared" si="7"/>
        <v>0</v>
      </c>
      <c r="X14" s="28">
        <f t="shared" si="8"/>
        <v>1</v>
      </c>
      <c r="Y14" s="29">
        <f t="shared" si="9"/>
        <v>1168.05</v>
      </c>
      <c r="AA14" s="24">
        <f t="shared" si="2"/>
        <v>0</v>
      </c>
      <c r="AB14" s="25">
        <v>0</v>
      </c>
      <c r="AC14" s="26">
        <f>AB14*F14</f>
        <v>0</v>
      </c>
      <c r="AD14" s="27">
        <f>AB14*P14</f>
        <v>0</v>
      </c>
      <c r="AE14" s="28">
        <f t="shared" si="12"/>
        <v>1</v>
      </c>
      <c r="AF14" s="29">
        <f t="shared" si="13"/>
        <v>1168.05</v>
      </c>
      <c r="AH14" s="24">
        <f t="shared" si="14"/>
        <v>0</v>
      </c>
      <c r="AI14" s="25">
        <v>1</v>
      </c>
      <c r="AJ14" s="26">
        <f t="shared" si="15"/>
        <v>65</v>
      </c>
      <c r="AK14" s="27">
        <f>AJ14*O14</f>
        <v>1168.05</v>
      </c>
      <c r="AL14" s="28">
        <f t="shared" si="16"/>
        <v>0</v>
      </c>
      <c r="AM14" s="29">
        <f t="shared" si="17"/>
        <v>0</v>
      </c>
    </row>
    <row r="15" spans="1:39" ht="39" customHeight="1" x14ac:dyDescent="0.2">
      <c r="A15" s="36" t="s">
        <v>62</v>
      </c>
      <c r="B15" s="37">
        <v>93584</v>
      </c>
      <c r="C15" s="36" t="s">
        <v>47</v>
      </c>
      <c r="D15" s="36" t="s">
        <v>63</v>
      </c>
      <c r="E15" s="38" t="s">
        <v>52</v>
      </c>
      <c r="F15" s="37">
        <v>25</v>
      </c>
      <c r="G15" s="40">
        <v>107.81</v>
      </c>
      <c r="H15" s="40">
        <v>3.75</v>
      </c>
      <c r="I15" s="40">
        <v>224.56</v>
      </c>
      <c r="J15" s="40">
        <f t="shared" si="19"/>
        <v>336.12</v>
      </c>
      <c r="K15" s="40">
        <f t="shared" si="20"/>
        <v>8403</v>
      </c>
      <c r="L15" s="40">
        <f>ROUND(G15*(1+$P$48),2)+0.01</f>
        <v>130</v>
      </c>
      <c r="M15" s="40">
        <f t="shared" si="4"/>
        <v>4.5199999999999996</v>
      </c>
      <c r="N15" s="40">
        <f>ROUND(I15*(1+$P$48),2)+0.01</f>
        <v>270.77</v>
      </c>
      <c r="O15" s="40">
        <f t="shared" si="5"/>
        <v>405.28999999999996</v>
      </c>
      <c r="P15" s="40">
        <f t="shared" si="6"/>
        <v>10132.25</v>
      </c>
      <c r="Q15" s="40"/>
      <c r="R15" s="41">
        <f t="shared" si="0"/>
        <v>4.0573258933775315E-2</v>
      </c>
      <c r="T15" s="24">
        <v>0</v>
      </c>
      <c r="U15" s="25">
        <v>1</v>
      </c>
      <c r="V15" s="26">
        <f t="shared" si="18"/>
        <v>25</v>
      </c>
      <c r="W15" s="27">
        <f t="shared" si="7"/>
        <v>10132.25</v>
      </c>
      <c r="X15" s="28">
        <f t="shared" si="8"/>
        <v>0</v>
      </c>
      <c r="Y15" s="29">
        <f t="shared" si="9"/>
        <v>0</v>
      </c>
      <c r="AA15" s="24">
        <f t="shared" si="2"/>
        <v>1</v>
      </c>
      <c r="AB15" s="25">
        <v>0</v>
      </c>
      <c r="AC15" s="26">
        <f t="shared" si="10"/>
        <v>0</v>
      </c>
      <c r="AD15" s="27">
        <f t="shared" si="11"/>
        <v>0</v>
      </c>
      <c r="AE15" s="28">
        <f t="shared" si="12"/>
        <v>0</v>
      </c>
      <c r="AF15" s="29">
        <f t="shared" si="13"/>
        <v>0</v>
      </c>
      <c r="AH15" s="24">
        <f t="shared" si="14"/>
        <v>1</v>
      </c>
      <c r="AI15" s="25">
        <v>0</v>
      </c>
      <c r="AJ15" s="26">
        <f t="shared" si="15"/>
        <v>0</v>
      </c>
      <c r="AK15" s="27">
        <f>AJ15*P15</f>
        <v>0</v>
      </c>
      <c r="AL15" s="28">
        <f t="shared" si="16"/>
        <v>0</v>
      </c>
      <c r="AM15" s="29">
        <f t="shared" si="17"/>
        <v>0</v>
      </c>
    </row>
    <row r="16" spans="1:39" ht="25.9" customHeight="1" x14ac:dyDescent="0.2">
      <c r="A16" s="18" t="s">
        <v>64</v>
      </c>
      <c r="B16" s="42">
        <v>3</v>
      </c>
      <c r="C16" s="18" t="s">
        <v>38</v>
      </c>
      <c r="D16" s="18" t="s">
        <v>65</v>
      </c>
      <c r="E16" s="20" t="s">
        <v>66</v>
      </c>
      <c r="F16" s="42">
        <v>3</v>
      </c>
      <c r="G16" s="22">
        <v>0</v>
      </c>
      <c r="H16" s="22">
        <v>0</v>
      </c>
      <c r="I16" s="22">
        <v>356.95</v>
      </c>
      <c r="J16" s="22">
        <f t="shared" si="19"/>
        <v>356.95</v>
      </c>
      <c r="K16" s="22">
        <f t="shared" si="20"/>
        <v>1070.8499999999999</v>
      </c>
      <c r="L16" s="22">
        <f t="shared" si="4"/>
        <v>0</v>
      </c>
      <c r="M16" s="22">
        <f>TRUNC(H16*(1+$P$48),2)</f>
        <v>0</v>
      </c>
      <c r="N16" s="22">
        <f>ROUND(I16*(1+$P$48),2)+0.02</f>
        <v>430.40999999999997</v>
      </c>
      <c r="O16" s="22">
        <f t="shared" si="5"/>
        <v>430.40999999999997</v>
      </c>
      <c r="P16" s="22">
        <f t="shared" si="6"/>
        <v>1291.23</v>
      </c>
      <c r="Q16" s="22"/>
      <c r="R16" s="23">
        <f t="shared" si="0"/>
        <v>5.1705602539474163E-3</v>
      </c>
      <c r="T16" s="24">
        <v>0</v>
      </c>
      <c r="U16" s="25">
        <v>0</v>
      </c>
      <c r="V16" s="26">
        <f t="shared" si="18"/>
        <v>0</v>
      </c>
      <c r="W16" s="27">
        <f t="shared" si="7"/>
        <v>0</v>
      </c>
      <c r="X16" s="28">
        <f t="shared" si="8"/>
        <v>1</v>
      </c>
      <c r="Y16" s="29">
        <f t="shared" si="9"/>
        <v>1291.23</v>
      </c>
      <c r="AA16" s="24">
        <f t="shared" si="2"/>
        <v>0</v>
      </c>
      <c r="AB16" s="25">
        <v>0</v>
      </c>
      <c r="AC16" s="26">
        <f>AB16*F16</f>
        <v>0</v>
      </c>
      <c r="AD16" s="27">
        <f>AB16*P16</f>
        <v>0</v>
      </c>
      <c r="AE16" s="28">
        <f t="shared" si="12"/>
        <v>1</v>
      </c>
      <c r="AF16" s="29">
        <f t="shared" si="13"/>
        <v>1291.23</v>
      </c>
      <c r="AH16" s="24">
        <f t="shared" si="14"/>
        <v>0</v>
      </c>
      <c r="AI16" s="25">
        <v>1</v>
      </c>
      <c r="AJ16" s="26">
        <f t="shared" si="15"/>
        <v>3</v>
      </c>
      <c r="AK16" s="27">
        <f>AJ16*O16</f>
        <v>1291.23</v>
      </c>
      <c r="AL16" s="28">
        <f t="shared" si="16"/>
        <v>0</v>
      </c>
      <c r="AM16" s="29">
        <f t="shared" si="17"/>
        <v>0</v>
      </c>
    </row>
    <row r="17" spans="1:39" ht="24" customHeight="1" x14ac:dyDescent="0.2">
      <c r="A17" s="36" t="s">
        <v>67</v>
      </c>
      <c r="B17" s="37">
        <v>98459</v>
      </c>
      <c r="C17" s="36" t="s">
        <v>47</v>
      </c>
      <c r="D17" s="36" t="s">
        <v>68</v>
      </c>
      <c r="E17" s="38" t="s">
        <v>52</v>
      </c>
      <c r="F17" s="37">
        <v>143</v>
      </c>
      <c r="G17" s="40">
        <v>25</v>
      </c>
      <c r="H17" s="40">
        <v>0.73</v>
      </c>
      <c r="I17" s="40">
        <v>32.799999999999997</v>
      </c>
      <c r="J17" s="40">
        <f t="shared" si="19"/>
        <v>58.53</v>
      </c>
      <c r="K17" s="40">
        <f t="shared" si="20"/>
        <v>8369.7900000000009</v>
      </c>
      <c r="L17" s="40">
        <f>ROUND(G17*(1+$P$48),2)+0.01</f>
        <v>30.150000000000002</v>
      </c>
      <c r="M17" s="40">
        <f t="shared" si="4"/>
        <v>0.88</v>
      </c>
      <c r="N17" s="40">
        <f>TRUNC(I17*(1+$P$48),2)</f>
        <v>39.54</v>
      </c>
      <c r="O17" s="40">
        <f t="shared" si="5"/>
        <v>70.569999999999993</v>
      </c>
      <c r="P17" s="40">
        <f t="shared" si="6"/>
        <v>10091.51</v>
      </c>
      <c r="Q17" s="40"/>
      <c r="R17" s="41">
        <f t="shared" si="0"/>
        <v>4.0410120976365857E-2</v>
      </c>
      <c r="T17" s="24">
        <v>0</v>
      </c>
      <c r="U17" s="25">
        <v>1</v>
      </c>
      <c r="V17" s="26">
        <f t="shared" si="18"/>
        <v>143</v>
      </c>
      <c r="W17" s="27">
        <f t="shared" si="7"/>
        <v>10091.51</v>
      </c>
      <c r="X17" s="28">
        <f t="shared" si="8"/>
        <v>0</v>
      </c>
      <c r="Y17" s="29">
        <f t="shared" si="9"/>
        <v>0</v>
      </c>
      <c r="AA17" s="24">
        <f t="shared" si="2"/>
        <v>1</v>
      </c>
      <c r="AB17" s="25">
        <v>0</v>
      </c>
      <c r="AC17" s="26">
        <f t="shared" si="10"/>
        <v>0</v>
      </c>
      <c r="AD17" s="27">
        <f t="shared" si="11"/>
        <v>0</v>
      </c>
      <c r="AE17" s="28">
        <f t="shared" si="12"/>
        <v>0</v>
      </c>
      <c r="AF17" s="29">
        <f t="shared" si="13"/>
        <v>0</v>
      </c>
      <c r="AH17" s="24">
        <f t="shared" si="14"/>
        <v>1</v>
      </c>
      <c r="AI17" s="25">
        <v>0</v>
      </c>
      <c r="AJ17" s="26">
        <f t="shared" si="15"/>
        <v>0</v>
      </c>
      <c r="AK17" s="27">
        <f>AJ17*P17</f>
        <v>0</v>
      </c>
      <c r="AL17" s="28">
        <f t="shared" si="16"/>
        <v>0</v>
      </c>
      <c r="AM17" s="29">
        <f t="shared" si="17"/>
        <v>0</v>
      </c>
    </row>
    <row r="18" spans="1:39" ht="24" customHeight="1" x14ac:dyDescent="0.2">
      <c r="A18" s="36" t="s">
        <v>69</v>
      </c>
      <c r="B18" s="37">
        <v>98458</v>
      </c>
      <c r="C18" s="36" t="s">
        <v>47</v>
      </c>
      <c r="D18" s="36" t="s">
        <v>70</v>
      </c>
      <c r="E18" s="38" t="s">
        <v>52</v>
      </c>
      <c r="F18" s="37">
        <v>54.12</v>
      </c>
      <c r="G18" s="40">
        <v>26.8</v>
      </c>
      <c r="H18" s="40">
        <v>0.79</v>
      </c>
      <c r="I18" s="40">
        <v>30.93</v>
      </c>
      <c r="J18" s="40">
        <f t="shared" si="19"/>
        <v>58.519999999999996</v>
      </c>
      <c r="K18" s="40">
        <f t="shared" si="20"/>
        <v>3167.1</v>
      </c>
      <c r="L18" s="40">
        <f t="shared" si="4"/>
        <v>32.31</v>
      </c>
      <c r="M18" s="40">
        <f t="shared" si="4"/>
        <v>0.95</v>
      </c>
      <c r="N18" s="40">
        <f>ROUND(I18*(1+$P$48),2)+0.01</f>
        <v>37.299999999999997</v>
      </c>
      <c r="O18" s="40">
        <f t="shared" si="5"/>
        <v>70.56</v>
      </c>
      <c r="P18" s="40">
        <f>TRUNC(F18*O18,2)</f>
        <v>3818.7</v>
      </c>
      <c r="Q18" s="40"/>
      <c r="R18" s="41">
        <f t="shared" si="0"/>
        <v>1.52914805586526E-2</v>
      </c>
      <c r="T18" s="24">
        <v>0</v>
      </c>
      <c r="U18" s="25">
        <v>1</v>
      </c>
      <c r="V18" s="26">
        <f t="shared" si="18"/>
        <v>54.12</v>
      </c>
      <c r="W18" s="27">
        <f t="shared" si="7"/>
        <v>3818.7</v>
      </c>
      <c r="X18" s="28">
        <f t="shared" si="8"/>
        <v>0</v>
      </c>
      <c r="Y18" s="29">
        <f t="shared" si="9"/>
        <v>0</v>
      </c>
      <c r="AA18" s="24">
        <f t="shared" si="2"/>
        <v>1</v>
      </c>
      <c r="AB18" s="25">
        <v>0</v>
      </c>
      <c r="AC18" s="26">
        <f t="shared" si="10"/>
        <v>0</v>
      </c>
      <c r="AD18" s="27">
        <f t="shared" si="11"/>
        <v>0</v>
      </c>
      <c r="AE18" s="28">
        <f t="shared" si="12"/>
        <v>0</v>
      </c>
      <c r="AF18" s="29">
        <f t="shared" si="13"/>
        <v>0</v>
      </c>
      <c r="AH18" s="24">
        <f t="shared" si="14"/>
        <v>1</v>
      </c>
      <c r="AI18" s="25">
        <v>0</v>
      </c>
      <c r="AJ18" s="26">
        <f t="shared" si="15"/>
        <v>0</v>
      </c>
      <c r="AK18" s="27">
        <f>AJ18*P18</f>
        <v>0</v>
      </c>
      <c r="AL18" s="28">
        <f t="shared" si="16"/>
        <v>0</v>
      </c>
      <c r="AM18" s="29">
        <f t="shared" si="17"/>
        <v>0</v>
      </c>
    </row>
    <row r="19" spans="1:39" ht="52.15" customHeight="1" x14ac:dyDescent="0.2">
      <c r="A19" s="31" t="s">
        <v>71</v>
      </c>
      <c r="B19" s="31"/>
      <c r="C19" s="31"/>
      <c r="D19" s="31" t="s">
        <v>72</v>
      </c>
      <c r="E19" s="31"/>
      <c r="F19" s="32"/>
      <c r="G19" s="33"/>
      <c r="H19" s="33"/>
      <c r="I19" s="33"/>
      <c r="J19" s="33"/>
      <c r="K19" s="43"/>
      <c r="L19" s="43"/>
      <c r="M19" s="43"/>
      <c r="N19" s="43"/>
      <c r="O19" s="43"/>
      <c r="P19" s="43"/>
      <c r="Q19" s="34">
        <f>SUM(P20:P22)</f>
        <v>827.49</v>
      </c>
      <c r="R19" s="44">
        <f>Q19/$Q$49</f>
        <v>3.3135745796945139E-3</v>
      </c>
      <c r="T19" s="24" t="s">
        <v>43</v>
      </c>
      <c r="U19" s="25" t="s">
        <v>43</v>
      </c>
      <c r="V19" s="26" t="s">
        <v>43</v>
      </c>
      <c r="W19" s="27" t="s">
        <v>43</v>
      </c>
      <c r="X19" s="30"/>
      <c r="Y19" s="29"/>
      <c r="AA19" s="24" t="str">
        <f t="shared" si="2"/>
        <v>-</v>
      </c>
      <c r="AB19" s="25" t="s">
        <v>43</v>
      </c>
      <c r="AC19" s="26" t="s">
        <v>43</v>
      </c>
      <c r="AD19" s="27" t="s">
        <v>43</v>
      </c>
      <c r="AE19" s="28" t="s">
        <v>43</v>
      </c>
      <c r="AF19" s="29" t="s">
        <v>43</v>
      </c>
      <c r="AH19" s="24" t="str">
        <f t="shared" si="3"/>
        <v>-</v>
      </c>
      <c r="AI19" s="25" t="s">
        <v>43</v>
      </c>
      <c r="AJ19" s="26" t="s">
        <v>43</v>
      </c>
      <c r="AK19" s="27" t="s">
        <v>43</v>
      </c>
      <c r="AL19" s="28" t="s">
        <v>43</v>
      </c>
      <c r="AM19" s="29" t="s">
        <v>43</v>
      </c>
    </row>
    <row r="20" spans="1:39" ht="64.900000000000006" customHeight="1" x14ac:dyDescent="0.2">
      <c r="A20" s="36" t="s">
        <v>73</v>
      </c>
      <c r="B20" s="37">
        <v>104142</v>
      </c>
      <c r="C20" s="36" t="s">
        <v>47</v>
      </c>
      <c r="D20" s="36" t="s">
        <v>74</v>
      </c>
      <c r="E20" s="38" t="s">
        <v>49</v>
      </c>
      <c r="F20" s="37">
        <v>1</v>
      </c>
      <c r="G20" s="40">
        <v>193.46</v>
      </c>
      <c r="H20" s="40">
        <v>7.74</v>
      </c>
      <c r="I20" s="40">
        <v>157.1</v>
      </c>
      <c r="J20" s="40">
        <f t="shared" ref="J20:J22" si="21">SUM(G20:I20)</f>
        <v>358.3</v>
      </c>
      <c r="K20" s="40">
        <f t="shared" si="20"/>
        <v>358.3</v>
      </c>
      <c r="L20" s="40">
        <f>TRUNC(G20*(1+$P$48),2)+0.02</f>
        <v>233.28</v>
      </c>
      <c r="M20" s="40">
        <f t="shared" si="4"/>
        <v>9.33</v>
      </c>
      <c r="N20" s="40">
        <f>TRUNC(I20*(1+$P$48),2)</f>
        <v>189.42</v>
      </c>
      <c r="O20" s="40">
        <f>SUM(L20:N20)</f>
        <v>432.03</v>
      </c>
      <c r="P20" s="40">
        <f>ROUND(F20*O20,2)</f>
        <v>432.03</v>
      </c>
      <c r="Q20" s="40"/>
      <c r="R20" s="41">
        <f t="shared" si="0"/>
        <v>1.7300071610115177E-3</v>
      </c>
      <c r="T20" s="24">
        <v>0</v>
      </c>
      <c r="U20" s="25">
        <v>1</v>
      </c>
      <c r="V20" s="26">
        <f t="shared" ref="V20:V22" si="22">U20*F20</f>
        <v>1</v>
      </c>
      <c r="W20" s="27">
        <f>P20*U20</f>
        <v>432.03</v>
      </c>
      <c r="X20" s="28">
        <f t="shared" ref="X20:X22" si="23">100%-T20-U20</f>
        <v>0</v>
      </c>
      <c r="Y20" s="29">
        <f t="shared" ref="Y20:Y22" si="24">P20*X20</f>
        <v>0</v>
      </c>
      <c r="AA20" s="24">
        <f t="shared" si="2"/>
        <v>1</v>
      </c>
      <c r="AB20" s="25">
        <v>0</v>
      </c>
      <c r="AC20" s="26">
        <f t="shared" ref="AC20:AC22" si="25">AB20*M20</f>
        <v>0</v>
      </c>
      <c r="AD20" s="27">
        <f>W20*AB20</f>
        <v>0</v>
      </c>
      <c r="AE20" s="28">
        <f t="shared" si="12"/>
        <v>0</v>
      </c>
      <c r="AF20" s="29">
        <f t="shared" si="13"/>
        <v>0</v>
      </c>
      <c r="AH20" s="24">
        <f>SUM(U20+AB20)</f>
        <v>1</v>
      </c>
      <c r="AI20" s="25">
        <v>0</v>
      </c>
      <c r="AJ20" s="26">
        <f>AI20*F20</f>
        <v>0</v>
      </c>
      <c r="AK20" s="27">
        <f>AJ20*P20</f>
        <v>0</v>
      </c>
      <c r="AL20" s="28">
        <f t="shared" ref="AL20:AL22" si="26">AE20-AI20</f>
        <v>0</v>
      </c>
      <c r="AM20" s="29">
        <f t="shared" ref="AM20:AM22" si="27">AF20-AK20</f>
        <v>0</v>
      </c>
    </row>
    <row r="21" spans="1:39" ht="64.900000000000006" customHeight="1" x14ac:dyDescent="0.2">
      <c r="A21" s="36" t="s">
        <v>75</v>
      </c>
      <c r="B21" s="37">
        <v>104118</v>
      </c>
      <c r="C21" s="36" t="s">
        <v>47</v>
      </c>
      <c r="D21" s="36" t="s">
        <v>76</v>
      </c>
      <c r="E21" s="38" t="s">
        <v>49</v>
      </c>
      <c r="F21" s="37">
        <v>1</v>
      </c>
      <c r="G21" s="40">
        <v>133.72999999999999</v>
      </c>
      <c r="H21" s="40">
        <v>5.33</v>
      </c>
      <c r="I21" s="40">
        <v>71.2</v>
      </c>
      <c r="J21" s="40">
        <f t="shared" si="21"/>
        <v>210.26</v>
      </c>
      <c r="K21" s="40">
        <f t="shared" si="20"/>
        <v>210.26</v>
      </c>
      <c r="L21" s="40">
        <f>ROUND(G21*(1+$P$48),2)+0.01</f>
        <v>161.25</v>
      </c>
      <c r="M21" s="40">
        <f t="shared" si="4"/>
        <v>6.43</v>
      </c>
      <c r="N21" s="40">
        <f>TRUNC(I21*(1+$P$48),2)+0.01</f>
        <v>85.850000000000009</v>
      </c>
      <c r="O21" s="40">
        <f t="shared" ref="O21:O22" si="28">SUM(L21:N21)</f>
        <v>253.53000000000003</v>
      </c>
      <c r="P21" s="40">
        <f>ROUND(F21*O21,2)</f>
        <v>253.53</v>
      </c>
      <c r="Q21" s="40"/>
      <c r="R21" s="41">
        <f t="shared" si="0"/>
        <v>1.0152274507123349E-3</v>
      </c>
      <c r="T21" s="24">
        <v>0</v>
      </c>
      <c r="U21" s="25">
        <v>1</v>
      </c>
      <c r="V21" s="26">
        <f t="shared" si="22"/>
        <v>1</v>
      </c>
      <c r="W21" s="27">
        <f>P21*U21</f>
        <v>253.53</v>
      </c>
      <c r="X21" s="28">
        <f t="shared" si="23"/>
        <v>0</v>
      </c>
      <c r="Y21" s="29">
        <f t="shared" si="24"/>
        <v>0</v>
      </c>
      <c r="AA21" s="24">
        <f t="shared" si="2"/>
        <v>1</v>
      </c>
      <c r="AB21" s="25">
        <v>0</v>
      </c>
      <c r="AC21" s="26">
        <f t="shared" si="25"/>
        <v>0</v>
      </c>
      <c r="AD21" s="27">
        <f>W21*AB21</f>
        <v>0</v>
      </c>
      <c r="AE21" s="28">
        <f t="shared" si="12"/>
        <v>0</v>
      </c>
      <c r="AF21" s="29">
        <f t="shared" si="13"/>
        <v>0</v>
      </c>
      <c r="AH21" s="24">
        <f>SUM(U21+AB21)</f>
        <v>1</v>
      </c>
      <c r="AI21" s="25">
        <v>0</v>
      </c>
      <c r="AJ21" s="26">
        <f>AI21*F21</f>
        <v>0</v>
      </c>
      <c r="AK21" s="27">
        <f>AJ21*P21</f>
        <v>0</v>
      </c>
      <c r="AL21" s="28">
        <f t="shared" si="26"/>
        <v>0</v>
      </c>
      <c r="AM21" s="29">
        <f t="shared" si="27"/>
        <v>0</v>
      </c>
    </row>
    <row r="22" spans="1:39" ht="24" customHeight="1" x14ac:dyDescent="0.2">
      <c r="A22" s="36" t="s">
        <v>77</v>
      </c>
      <c r="B22" s="37">
        <v>12203</v>
      </c>
      <c r="C22" s="36" t="s">
        <v>78</v>
      </c>
      <c r="D22" s="36" t="s">
        <v>79</v>
      </c>
      <c r="E22" s="38" t="s">
        <v>80</v>
      </c>
      <c r="F22" s="37">
        <v>1</v>
      </c>
      <c r="G22" s="40">
        <v>63.18</v>
      </c>
      <c r="H22" s="40">
        <v>0</v>
      </c>
      <c r="I22" s="40">
        <v>54.53</v>
      </c>
      <c r="J22" s="40">
        <f t="shared" si="21"/>
        <v>117.71000000000001</v>
      </c>
      <c r="K22" s="40">
        <f t="shared" si="20"/>
        <v>117.71</v>
      </c>
      <c r="L22" s="40">
        <f>ROUND(G22*(1+$P$48),2)</f>
        <v>76.180000000000007</v>
      </c>
      <c r="M22" s="40">
        <f t="shared" si="4"/>
        <v>0</v>
      </c>
      <c r="N22" s="40">
        <f>TRUNC(I22*(1+$P$48),2)+0.01</f>
        <v>65.75</v>
      </c>
      <c r="O22" s="40">
        <f t="shared" si="28"/>
        <v>141.93</v>
      </c>
      <c r="P22" s="40">
        <f>ROUND(F22*O22,2)</f>
        <v>141.93</v>
      </c>
      <c r="Q22" s="40"/>
      <c r="R22" s="41">
        <f t="shared" si="0"/>
        <v>5.6833996797066115E-4</v>
      </c>
      <c r="T22" s="24">
        <v>0</v>
      </c>
      <c r="U22" s="25">
        <v>1</v>
      </c>
      <c r="V22" s="26">
        <f t="shared" si="22"/>
        <v>1</v>
      </c>
      <c r="W22" s="27">
        <f>P22*U22</f>
        <v>141.93</v>
      </c>
      <c r="X22" s="28">
        <f t="shared" si="23"/>
        <v>0</v>
      </c>
      <c r="Y22" s="29">
        <f t="shared" si="24"/>
        <v>0</v>
      </c>
      <c r="AA22" s="24">
        <f t="shared" si="2"/>
        <v>1</v>
      </c>
      <c r="AB22" s="25">
        <v>0</v>
      </c>
      <c r="AC22" s="26">
        <f t="shared" si="25"/>
        <v>0</v>
      </c>
      <c r="AD22" s="27">
        <f>W22*AB22</f>
        <v>0</v>
      </c>
      <c r="AE22" s="28">
        <f t="shared" si="12"/>
        <v>0</v>
      </c>
      <c r="AF22" s="29">
        <f t="shared" si="13"/>
        <v>0</v>
      </c>
      <c r="AH22" s="24">
        <f>SUM(U22+AB22)</f>
        <v>1</v>
      </c>
      <c r="AI22" s="25">
        <v>0</v>
      </c>
      <c r="AJ22" s="26">
        <f>AI22*F22</f>
        <v>0</v>
      </c>
      <c r="AK22" s="27">
        <f>AJ22*P22</f>
        <v>0</v>
      </c>
      <c r="AL22" s="28">
        <f t="shared" si="26"/>
        <v>0</v>
      </c>
      <c r="AM22" s="29">
        <f t="shared" si="27"/>
        <v>0</v>
      </c>
    </row>
    <row r="23" spans="1:39" ht="57.6" customHeight="1" x14ac:dyDescent="0.2">
      <c r="A23" s="31" t="s">
        <v>81</v>
      </c>
      <c r="B23" s="31"/>
      <c r="C23" s="31"/>
      <c r="D23" s="31" t="s">
        <v>82</v>
      </c>
      <c r="E23" s="31"/>
      <c r="F23" s="32"/>
      <c r="G23" s="33"/>
      <c r="H23" s="33"/>
      <c r="I23" s="33"/>
      <c r="J23" s="33"/>
      <c r="K23" s="43"/>
      <c r="L23" s="43"/>
      <c r="M23" s="43"/>
      <c r="N23" s="43"/>
      <c r="O23" s="43"/>
      <c r="P23" s="43"/>
      <c r="Q23" s="34">
        <f>SUM(P24:P28)</f>
        <v>14585.76</v>
      </c>
      <c r="R23" s="44">
        <f>Q23/$Q$49</f>
        <v>5.8406752421811807E-2</v>
      </c>
      <c r="T23" s="24" t="s">
        <v>43</v>
      </c>
      <c r="U23" s="25" t="s">
        <v>43</v>
      </c>
      <c r="V23" s="26" t="s">
        <v>43</v>
      </c>
      <c r="W23" s="27" t="s">
        <v>43</v>
      </c>
      <c r="X23" s="30"/>
      <c r="Y23" s="29"/>
      <c r="AA23" s="24" t="str">
        <f t="shared" si="2"/>
        <v>-</v>
      </c>
      <c r="AB23" s="25" t="s">
        <v>43</v>
      </c>
      <c r="AC23" s="26" t="s">
        <v>43</v>
      </c>
      <c r="AD23" s="27" t="s">
        <v>43</v>
      </c>
      <c r="AE23" s="28" t="s">
        <v>43</v>
      </c>
      <c r="AF23" s="29" t="s">
        <v>43</v>
      </c>
      <c r="AH23" s="24" t="str">
        <f t="shared" si="3"/>
        <v>-</v>
      </c>
      <c r="AI23" s="25" t="s">
        <v>43</v>
      </c>
      <c r="AJ23" s="26" t="s">
        <v>43</v>
      </c>
      <c r="AK23" s="27" t="s">
        <v>43</v>
      </c>
      <c r="AL23" s="28" t="s">
        <v>43</v>
      </c>
      <c r="AM23" s="29" t="s">
        <v>43</v>
      </c>
    </row>
    <row r="24" spans="1:39" ht="25.9" customHeight="1" x14ac:dyDescent="0.2">
      <c r="A24" s="36" t="s">
        <v>83</v>
      </c>
      <c r="B24" s="37">
        <v>97637</v>
      </c>
      <c r="C24" s="36" t="s">
        <v>47</v>
      </c>
      <c r="D24" s="36" t="s">
        <v>84</v>
      </c>
      <c r="E24" s="38" t="s">
        <v>52</v>
      </c>
      <c r="F24" s="37">
        <v>197.12</v>
      </c>
      <c r="G24" s="40">
        <v>1.98</v>
      </c>
      <c r="H24" s="40">
        <v>7.0000000000000007E-2</v>
      </c>
      <c r="I24" s="40">
        <v>0.57999999999999996</v>
      </c>
      <c r="J24" s="40">
        <f t="shared" ref="J24:J28" si="29">SUM(G24:I24)</f>
        <v>2.63</v>
      </c>
      <c r="K24" s="40">
        <f t="shared" si="20"/>
        <v>518.41999999999996</v>
      </c>
      <c r="L24" s="40">
        <f>ROUND(G24*(1+$P$48),2)</f>
        <v>2.39</v>
      </c>
      <c r="M24" s="40">
        <f t="shared" si="4"/>
        <v>0.08</v>
      </c>
      <c r="N24" s="40">
        <f>ROUND(I24*(1+$P$48),2)</f>
        <v>0.7</v>
      </c>
      <c r="O24" s="40">
        <f t="shared" ref="O24:O28" si="30">SUM(L24:N24)</f>
        <v>3.17</v>
      </c>
      <c r="P24" s="40">
        <f>ROUND(F24*O24,2)</f>
        <v>624.87</v>
      </c>
      <c r="Q24" s="40"/>
      <c r="R24" s="41">
        <f t="shared" si="0"/>
        <v>2.5022095102221306E-3</v>
      </c>
      <c r="T24" s="24">
        <v>0</v>
      </c>
      <c r="U24" s="25">
        <v>0</v>
      </c>
      <c r="V24" s="26">
        <f t="shared" ref="V24:V28" si="31">U24*F24</f>
        <v>0</v>
      </c>
      <c r="W24" s="27">
        <f>P24*U24</f>
        <v>0</v>
      </c>
      <c r="X24" s="28">
        <f t="shared" ref="X24:X28" si="32">100%-T24-U24</f>
        <v>1</v>
      </c>
      <c r="Y24" s="29">
        <f t="shared" ref="Y24:Y28" si="33">P24*X24</f>
        <v>624.87</v>
      </c>
      <c r="AA24" s="24">
        <f t="shared" si="2"/>
        <v>0</v>
      </c>
      <c r="AB24" s="25">
        <v>0</v>
      </c>
      <c r="AC24" s="26">
        <f t="shared" ref="AC24:AC28" si="34">AB24*M24</f>
        <v>0</v>
      </c>
      <c r="AD24" s="27">
        <f>W24*AB24</f>
        <v>0</v>
      </c>
      <c r="AE24" s="28">
        <f t="shared" si="12"/>
        <v>1</v>
      </c>
      <c r="AF24" s="29">
        <f t="shared" si="13"/>
        <v>624.87</v>
      </c>
      <c r="AH24" s="24">
        <f>SUM(U24+AB24)</f>
        <v>0</v>
      </c>
      <c r="AI24" s="25">
        <v>1</v>
      </c>
      <c r="AJ24" s="26">
        <f t="shared" ref="AJ24:AJ28" si="35">AI24*F24</f>
        <v>197.12</v>
      </c>
      <c r="AK24" s="27">
        <f>AJ24*O24</f>
        <v>624.87040000000002</v>
      </c>
      <c r="AL24" s="28">
        <f t="shared" ref="AL24:AL28" si="36">AE24-AI24</f>
        <v>0</v>
      </c>
      <c r="AM24" s="29">
        <f t="shared" ref="AM24:AM27" si="37">AF24-AK24</f>
        <v>-4.0000000001327862E-4</v>
      </c>
    </row>
    <row r="25" spans="1:39" ht="39.6" customHeight="1" x14ac:dyDescent="0.2">
      <c r="A25" s="59" t="s">
        <v>85</v>
      </c>
      <c r="B25" s="60">
        <v>210000</v>
      </c>
      <c r="C25" s="59" t="s">
        <v>136</v>
      </c>
      <c r="D25" s="59" t="s">
        <v>86</v>
      </c>
      <c r="E25" s="61" t="s">
        <v>49</v>
      </c>
      <c r="F25" s="60">
        <v>14</v>
      </c>
      <c r="G25" s="62">
        <v>100.62</v>
      </c>
      <c r="H25" s="62">
        <v>0</v>
      </c>
      <c r="I25" s="62">
        <v>170.01999999999998</v>
      </c>
      <c r="J25" s="62">
        <f t="shared" si="29"/>
        <v>270.64</v>
      </c>
      <c r="K25" s="62">
        <f t="shared" si="20"/>
        <v>3788.96</v>
      </c>
      <c r="L25" s="62">
        <f>ROUND(G25*(1+$P$48),2)+0.01</f>
        <v>121.33</v>
      </c>
      <c r="M25" s="62">
        <f t="shared" si="4"/>
        <v>0</v>
      </c>
      <c r="N25" s="62">
        <f>ROUND(I25*(1+$P$48),2)</f>
        <v>205</v>
      </c>
      <c r="O25" s="62">
        <f t="shared" si="30"/>
        <v>326.33</v>
      </c>
      <c r="P25" s="62">
        <f>ROUND(F25*O25,2)</f>
        <v>4568.62</v>
      </c>
      <c r="Q25" s="62"/>
      <c r="R25" s="63">
        <f t="shared" si="0"/>
        <v>1.8294436302896649E-2</v>
      </c>
      <c r="T25" s="24">
        <v>0</v>
      </c>
      <c r="U25" s="25">
        <v>0.5</v>
      </c>
      <c r="V25" s="26">
        <f t="shared" si="31"/>
        <v>7</v>
      </c>
      <c r="W25" s="27">
        <f>P25*U25</f>
        <v>2284.31</v>
      </c>
      <c r="X25" s="28">
        <f t="shared" si="32"/>
        <v>0.5</v>
      </c>
      <c r="Y25" s="29">
        <f t="shared" si="33"/>
        <v>2284.31</v>
      </c>
      <c r="AA25" s="24">
        <f t="shared" si="2"/>
        <v>0.5</v>
      </c>
      <c r="AB25" s="25">
        <v>0</v>
      </c>
      <c r="AC25" s="26">
        <f t="shared" si="34"/>
        <v>0</v>
      </c>
      <c r="AD25" s="27">
        <f>W25*AB25</f>
        <v>0</v>
      </c>
      <c r="AE25" s="28">
        <f t="shared" si="12"/>
        <v>0.5</v>
      </c>
      <c r="AF25" s="29">
        <f t="shared" si="13"/>
        <v>2284.31</v>
      </c>
      <c r="AH25" s="24">
        <f>SUM(U25+AB25)</f>
        <v>0.5</v>
      </c>
      <c r="AI25" s="25">
        <v>0.5</v>
      </c>
      <c r="AJ25" s="26">
        <f t="shared" si="35"/>
        <v>7</v>
      </c>
      <c r="AK25" s="27">
        <f>AJ25*O25</f>
        <v>2284.31</v>
      </c>
      <c r="AL25" s="28">
        <f t="shared" si="36"/>
        <v>0</v>
      </c>
      <c r="AM25" s="29">
        <f t="shared" si="37"/>
        <v>0</v>
      </c>
    </row>
    <row r="26" spans="1:39" ht="25.9" customHeight="1" x14ac:dyDescent="0.2">
      <c r="A26" s="36" t="s">
        <v>87</v>
      </c>
      <c r="B26" s="37">
        <v>22056</v>
      </c>
      <c r="C26" s="36" t="s">
        <v>78</v>
      </c>
      <c r="D26" s="36" t="s">
        <v>88</v>
      </c>
      <c r="E26" s="38" t="s">
        <v>52</v>
      </c>
      <c r="F26" s="37">
        <v>288.77</v>
      </c>
      <c r="G26" s="40">
        <v>6.54</v>
      </c>
      <c r="H26" s="40">
        <v>0</v>
      </c>
      <c r="I26" s="40">
        <v>0</v>
      </c>
      <c r="J26" s="40">
        <f t="shared" si="29"/>
        <v>6.54</v>
      </c>
      <c r="K26" s="40">
        <f t="shared" si="20"/>
        <v>1888.55</v>
      </c>
      <c r="L26" s="40">
        <f>TRUNC(G26*(1+$P$48),2)</f>
        <v>7.88</v>
      </c>
      <c r="M26" s="40">
        <f t="shared" ref="M26:N45" si="38">ROUND(H26*(1+$P$48),2)</f>
        <v>0</v>
      </c>
      <c r="N26" s="40">
        <f>ROUND(I26*(1+$P$48),2)</f>
        <v>0</v>
      </c>
      <c r="O26" s="40">
        <f t="shared" si="30"/>
        <v>7.88</v>
      </c>
      <c r="P26" s="40">
        <f>TRUNC(F26*O26,2)</f>
        <v>2275.5</v>
      </c>
      <c r="Q26" s="40"/>
      <c r="R26" s="41">
        <f t="shared" si="0"/>
        <v>9.1119396682677323E-3</v>
      </c>
      <c r="T26" s="24">
        <v>0</v>
      </c>
      <c r="U26" s="25">
        <v>1</v>
      </c>
      <c r="V26" s="26">
        <f t="shared" si="31"/>
        <v>288.77</v>
      </c>
      <c r="W26" s="27">
        <f>P26*U26</f>
        <v>2275.5</v>
      </c>
      <c r="X26" s="28">
        <f t="shared" si="32"/>
        <v>0</v>
      </c>
      <c r="Y26" s="29">
        <f t="shared" si="33"/>
        <v>0</v>
      </c>
      <c r="AA26" s="24">
        <f t="shared" si="2"/>
        <v>1</v>
      </c>
      <c r="AB26" s="25">
        <v>0</v>
      </c>
      <c r="AC26" s="26">
        <f t="shared" si="34"/>
        <v>0</v>
      </c>
      <c r="AD26" s="27">
        <f>W26*AB26</f>
        <v>0</v>
      </c>
      <c r="AE26" s="28">
        <f t="shared" si="12"/>
        <v>0</v>
      </c>
      <c r="AF26" s="29">
        <f t="shared" si="13"/>
        <v>0</v>
      </c>
      <c r="AH26" s="24">
        <f>SUM(U26+AB26)</f>
        <v>1</v>
      </c>
      <c r="AI26" s="25">
        <v>0</v>
      </c>
      <c r="AJ26" s="26">
        <f t="shared" si="35"/>
        <v>0</v>
      </c>
      <c r="AK26" s="27">
        <f t="shared" ref="AK26:AK27" si="39">AJ26*P26</f>
        <v>0</v>
      </c>
      <c r="AL26" s="28">
        <f t="shared" si="36"/>
        <v>0</v>
      </c>
      <c r="AM26" s="29">
        <f t="shared" si="37"/>
        <v>0</v>
      </c>
    </row>
    <row r="27" spans="1:39" ht="25.9" customHeight="1" x14ac:dyDescent="0.2">
      <c r="A27" s="36" t="s">
        <v>89</v>
      </c>
      <c r="B27" s="37">
        <v>160771</v>
      </c>
      <c r="C27" s="36" t="s">
        <v>78</v>
      </c>
      <c r="D27" s="36" t="s">
        <v>90</v>
      </c>
      <c r="E27" s="38" t="s">
        <v>55</v>
      </c>
      <c r="F27" s="37">
        <v>9.56</v>
      </c>
      <c r="G27" s="40">
        <v>207.17</v>
      </c>
      <c r="H27" s="40">
        <v>0.02</v>
      </c>
      <c r="I27" s="40">
        <v>0</v>
      </c>
      <c r="J27" s="40">
        <f t="shared" si="29"/>
        <v>207.19</v>
      </c>
      <c r="K27" s="40">
        <f t="shared" si="20"/>
        <v>1980.73</v>
      </c>
      <c r="L27" s="40">
        <f>ROUND(G27*(1+$P$48),2)+0.01</f>
        <v>249.79999999999998</v>
      </c>
      <c r="M27" s="40">
        <f t="shared" si="38"/>
        <v>0.02</v>
      </c>
      <c r="N27" s="40">
        <f>ROUND(I27*(1+$P$48),2)</f>
        <v>0</v>
      </c>
      <c r="O27" s="40">
        <f t="shared" si="30"/>
        <v>249.82</v>
      </c>
      <c r="P27" s="40">
        <f>TRUNC(F27*O27,2)</f>
        <v>2388.27</v>
      </c>
      <c r="Q27" s="40"/>
      <c r="R27" s="41">
        <f t="shared" si="0"/>
        <v>9.5635122617155691E-3</v>
      </c>
      <c r="T27" s="24">
        <v>0</v>
      </c>
      <c r="U27" s="25">
        <v>1</v>
      </c>
      <c r="V27" s="26">
        <f t="shared" si="31"/>
        <v>9.56</v>
      </c>
      <c r="W27" s="27">
        <f>P27*U27</f>
        <v>2388.27</v>
      </c>
      <c r="X27" s="28">
        <f t="shared" si="32"/>
        <v>0</v>
      </c>
      <c r="Y27" s="29">
        <f t="shared" si="33"/>
        <v>0</v>
      </c>
      <c r="AA27" s="24">
        <f t="shared" si="2"/>
        <v>1</v>
      </c>
      <c r="AB27" s="25">
        <v>0</v>
      </c>
      <c r="AC27" s="26">
        <f t="shared" si="34"/>
        <v>0</v>
      </c>
      <c r="AD27" s="27">
        <f>W27*AB27</f>
        <v>0</v>
      </c>
      <c r="AE27" s="28">
        <f t="shared" si="12"/>
        <v>0</v>
      </c>
      <c r="AF27" s="29">
        <f t="shared" si="13"/>
        <v>0</v>
      </c>
      <c r="AH27" s="24">
        <f>SUM(U27+AB27)</f>
        <v>1</v>
      </c>
      <c r="AI27" s="25">
        <v>0</v>
      </c>
      <c r="AJ27" s="26">
        <f t="shared" si="35"/>
        <v>0</v>
      </c>
      <c r="AK27" s="27">
        <f t="shared" si="39"/>
        <v>0</v>
      </c>
      <c r="AL27" s="28">
        <f t="shared" si="36"/>
        <v>0</v>
      </c>
      <c r="AM27" s="29">
        <f t="shared" si="37"/>
        <v>0</v>
      </c>
    </row>
    <row r="28" spans="1:39" ht="39" customHeight="1" x14ac:dyDescent="0.2">
      <c r="A28" s="59" t="s">
        <v>91</v>
      </c>
      <c r="B28" s="60">
        <v>104790</v>
      </c>
      <c r="C28" s="59" t="s">
        <v>135</v>
      </c>
      <c r="D28" s="59" t="s">
        <v>92</v>
      </c>
      <c r="E28" s="61" t="s">
        <v>55</v>
      </c>
      <c r="F28" s="64">
        <v>50</v>
      </c>
      <c r="G28" s="62">
        <v>44.6</v>
      </c>
      <c r="H28" s="62">
        <v>11.41</v>
      </c>
      <c r="I28" s="62">
        <v>22.42</v>
      </c>
      <c r="J28" s="62">
        <f t="shared" si="29"/>
        <v>78.430000000000007</v>
      </c>
      <c r="K28" s="62">
        <f t="shared" si="20"/>
        <v>3921.5</v>
      </c>
      <c r="L28" s="62">
        <f>ROUND(G28*(1+$P$48),2)</f>
        <v>53.78</v>
      </c>
      <c r="M28" s="62">
        <f t="shared" si="38"/>
        <v>13.76</v>
      </c>
      <c r="N28" s="62">
        <f>ROUND(I28*(1+$P$48),2)</f>
        <v>27.03</v>
      </c>
      <c r="O28" s="62">
        <f t="shared" si="30"/>
        <v>94.570000000000007</v>
      </c>
      <c r="P28" s="62">
        <f>TRUNC(F28*O28,2)</f>
        <v>4728.5</v>
      </c>
      <c r="Q28" s="62"/>
      <c r="R28" s="63">
        <f t="shared" si="0"/>
        <v>1.8934654678709723E-2</v>
      </c>
      <c r="T28" s="24">
        <v>0</v>
      </c>
      <c r="U28" s="25">
        <v>0.34199800000000002</v>
      </c>
      <c r="V28" s="26">
        <f t="shared" si="31"/>
        <v>17.099900000000002</v>
      </c>
      <c r="W28" s="27">
        <f>P28*U28</f>
        <v>1617.1375430000001</v>
      </c>
      <c r="X28" s="28">
        <f t="shared" si="32"/>
        <v>0.65800199999999998</v>
      </c>
      <c r="Y28" s="29">
        <f t="shared" si="33"/>
        <v>3111.3624569999997</v>
      </c>
      <c r="AA28" s="24">
        <f t="shared" si="2"/>
        <v>0.34199800000000002</v>
      </c>
      <c r="AB28" s="25">
        <v>0</v>
      </c>
      <c r="AC28" s="26">
        <f t="shared" si="34"/>
        <v>0</v>
      </c>
      <c r="AD28" s="27">
        <f>W28*AB28</f>
        <v>0</v>
      </c>
      <c r="AE28" s="28">
        <f t="shared" si="12"/>
        <v>0.65800199999999998</v>
      </c>
      <c r="AF28" s="29">
        <f>ROUNDDOWN(Y28-AD28,2)</f>
        <v>3111.36</v>
      </c>
      <c r="AH28" s="24">
        <f>SUM(U28+AB28)</f>
        <v>0.34199800000000002</v>
      </c>
      <c r="AI28" s="25">
        <v>0.65800099999999995</v>
      </c>
      <c r="AJ28" s="26">
        <f t="shared" si="35"/>
        <v>32.90005</v>
      </c>
      <c r="AK28" s="27">
        <f>ROUNDDOWN(AJ28*O28,2)</f>
        <v>3111.35</v>
      </c>
      <c r="AL28" s="28">
        <f t="shared" si="36"/>
        <v>1.0000000000287557E-6</v>
      </c>
      <c r="AM28" s="29">
        <v>0</v>
      </c>
    </row>
    <row r="29" spans="1:39" ht="43.9" customHeight="1" x14ac:dyDescent="0.2">
      <c r="A29" s="6" t="s">
        <v>93</v>
      </c>
      <c r="B29" s="6"/>
      <c r="C29" s="6"/>
      <c r="D29" s="6" t="s">
        <v>94</v>
      </c>
      <c r="E29" s="6"/>
      <c r="F29" s="7"/>
      <c r="G29" s="10"/>
      <c r="H29" s="10"/>
      <c r="I29" s="10"/>
      <c r="J29" s="10"/>
      <c r="K29" s="45"/>
      <c r="L29" s="46"/>
      <c r="M29" s="46"/>
      <c r="N29" s="46"/>
      <c r="O29" s="46"/>
      <c r="P29" s="45"/>
      <c r="Q29" s="10">
        <f>SUM(P30:P38)</f>
        <v>137413.07999999999</v>
      </c>
      <c r="R29" s="47">
        <f>Q29/$Q$49</f>
        <v>0.55025255749982305</v>
      </c>
      <c r="T29" s="24" t="s">
        <v>43</v>
      </c>
      <c r="U29" s="25" t="s">
        <v>43</v>
      </c>
      <c r="V29" s="26" t="s">
        <v>43</v>
      </c>
      <c r="W29" s="27" t="s">
        <v>43</v>
      </c>
      <c r="X29" s="30"/>
      <c r="Y29" s="29"/>
      <c r="AA29" s="24" t="str">
        <f t="shared" si="2"/>
        <v>-</v>
      </c>
      <c r="AB29" s="25" t="s">
        <v>43</v>
      </c>
      <c r="AC29" s="26" t="s">
        <v>43</v>
      </c>
      <c r="AD29" s="27" t="s">
        <v>43</v>
      </c>
      <c r="AE29" s="28" t="s">
        <v>43</v>
      </c>
      <c r="AF29" s="29" t="s">
        <v>43</v>
      </c>
      <c r="AH29" s="24" t="str">
        <f t="shared" si="3"/>
        <v>-</v>
      </c>
      <c r="AI29" s="25" t="s">
        <v>43</v>
      </c>
      <c r="AJ29" s="26" t="s">
        <v>43</v>
      </c>
      <c r="AK29" s="27" t="s">
        <v>43</v>
      </c>
      <c r="AL29" s="28" t="s">
        <v>43</v>
      </c>
      <c r="AM29" s="29" t="s">
        <v>43</v>
      </c>
    </row>
    <row r="30" spans="1:39" ht="49.9" customHeight="1" x14ac:dyDescent="0.2">
      <c r="A30" s="59" t="s">
        <v>95</v>
      </c>
      <c r="B30" s="60">
        <v>94993</v>
      </c>
      <c r="C30" s="59" t="s">
        <v>137</v>
      </c>
      <c r="D30" s="59" t="s">
        <v>96</v>
      </c>
      <c r="E30" s="61" t="s">
        <v>52</v>
      </c>
      <c r="F30" s="60">
        <f>269.64+369.45</f>
        <v>639.08999999999992</v>
      </c>
      <c r="G30" s="62">
        <v>6.28</v>
      </c>
      <c r="H30" s="62">
        <v>0.19</v>
      </c>
      <c r="I30" s="62">
        <v>33.43</v>
      </c>
      <c r="J30" s="62">
        <f t="shared" ref="J30:J38" si="40">SUM(G30:I30)</f>
        <v>39.9</v>
      </c>
      <c r="K30" s="62">
        <f t="shared" si="20"/>
        <v>25499.69</v>
      </c>
      <c r="L30" s="62">
        <f t="shared" ref="L30:L38" si="41">ROUND(G30*(1+$P$48),2)</f>
        <v>7.57</v>
      </c>
      <c r="M30" s="62">
        <f t="shared" si="38"/>
        <v>0.23</v>
      </c>
      <c r="N30" s="62">
        <f t="shared" si="38"/>
        <v>40.31</v>
      </c>
      <c r="O30" s="62">
        <f t="shared" ref="O30:O38" si="42">SUM(L30:N30)</f>
        <v>48.11</v>
      </c>
      <c r="P30" s="62">
        <f t="shared" ref="P30:P37" si="43">TRUNC(F30*O30,2)</f>
        <v>30746.61</v>
      </c>
      <c r="Q30" s="62"/>
      <c r="R30" s="63">
        <f t="shared" si="0"/>
        <v>0.12312074503351235</v>
      </c>
      <c r="T30" s="24">
        <v>0</v>
      </c>
      <c r="U30" s="25">
        <v>0</v>
      </c>
      <c r="V30" s="26">
        <f t="shared" ref="V30:V46" si="44">U30*F30</f>
        <v>0</v>
      </c>
      <c r="W30" s="27">
        <f t="shared" ref="W30:W38" si="45">P30*U30</f>
        <v>0</v>
      </c>
      <c r="X30" s="28">
        <f t="shared" ref="X30:X38" si="46">100%-T30-U30</f>
        <v>1</v>
      </c>
      <c r="Y30" s="29">
        <f t="shared" ref="Y30:Y38" si="47">P30*X30</f>
        <v>30746.61</v>
      </c>
      <c r="AA30" s="24">
        <f t="shared" si="2"/>
        <v>0</v>
      </c>
      <c r="AB30" s="25">
        <v>0</v>
      </c>
      <c r="AC30" s="26">
        <f>AB30*F30</f>
        <v>0</v>
      </c>
      <c r="AD30" s="27">
        <f>AB30*P30</f>
        <v>0</v>
      </c>
      <c r="AE30" s="28">
        <f t="shared" si="12"/>
        <v>1</v>
      </c>
      <c r="AF30" s="29">
        <f t="shared" si="13"/>
        <v>30746.61</v>
      </c>
      <c r="AH30" s="24">
        <f t="shared" ref="AH30:AH38" si="48">SUM(U30+AB30)</f>
        <v>0</v>
      </c>
      <c r="AI30" s="25">
        <v>0.99999956000000001</v>
      </c>
      <c r="AJ30" s="26">
        <f t="shared" ref="AJ30:AJ34" si="49">AI30*F30</f>
        <v>639.08971880039996</v>
      </c>
      <c r="AK30" s="27">
        <f>AJ30*O30</f>
        <v>30746.606371487243</v>
      </c>
      <c r="AL30" s="28">
        <f t="shared" ref="AL30:AL38" si="50">AE30-AI30</f>
        <v>4.3999999999044803E-7</v>
      </c>
      <c r="AM30" s="29">
        <f t="shared" ref="AM30:AM38" si="51">AF30-AK30</f>
        <v>3.6285127571318299E-3</v>
      </c>
    </row>
    <row r="31" spans="1:39" ht="43.15" customHeight="1" x14ac:dyDescent="0.2">
      <c r="A31" s="18" t="s">
        <v>97</v>
      </c>
      <c r="B31" s="42">
        <v>3408</v>
      </c>
      <c r="C31" s="18" t="s">
        <v>47</v>
      </c>
      <c r="D31" s="18" t="s">
        <v>98</v>
      </c>
      <c r="E31" s="20" t="s">
        <v>52</v>
      </c>
      <c r="F31" s="42">
        <v>337.11</v>
      </c>
      <c r="G31" s="22">
        <v>0</v>
      </c>
      <c r="H31" s="22">
        <v>0</v>
      </c>
      <c r="I31" s="22">
        <v>4.96</v>
      </c>
      <c r="J31" s="22">
        <f>SUM(G31:I31)</f>
        <v>4.96</v>
      </c>
      <c r="K31" s="22">
        <f t="shared" si="20"/>
        <v>1672.06</v>
      </c>
      <c r="L31" s="22">
        <f t="shared" si="41"/>
        <v>0</v>
      </c>
      <c r="M31" s="22">
        <f t="shared" si="38"/>
        <v>0</v>
      </c>
      <c r="N31" s="22">
        <f t="shared" si="38"/>
        <v>5.98</v>
      </c>
      <c r="O31" s="22">
        <f t="shared" si="42"/>
        <v>5.98</v>
      </c>
      <c r="P31" s="22">
        <f t="shared" si="43"/>
        <v>2015.91</v>
      </c>
      <c r="Q31" s="22"/>
      <c r="R31" s="23">
        <f t="shared" si="0"/>
        <v>8.0724457467183496E-3</v>
      </c>
      <c r="T31" s="24">
        <v>0</v>
      </c>
      <c r="U31" s="25">
        <v>0</v>
      </c>
      <c r="V31" s="26">
        <f t="shared" si="44"/>
        <v>0</v>
      </c>
      <c r="W31" s="27">
        <f t="shared" si="45"/>
        <v>0</v>
      </c>
      <c r="X31" s="28">
        <f t="shared" si="46"/>
        <v>1</v>
      </c>
      <c r="Y31" s="29">
        <f t="shared" si="47"/>
        <v>2015.91</v>
      </c>
      <c r="AA31" s="24">
        <f t="shared" si="2"/>
        <v>0</v>
      </c>
      <c r="AB31" s="25">
        <v>1</v>
      </c>
      <c r="AC31" s="26">
        <f>AB31*F31</f>
        <v>337.11</v>
      </c>
      <c r="AD31" s="27">
        <f t="shared" ref="AD31:AD43" si="52">AB31*P31</f>
        <v>2015.91</v>
      </c>
      <c r="AE31" s="28">
        <f t="shared" si="12"/>
        <v>0</v>
      </c>
      <c r="AF31" s="29">
        <f t="shared" si="13"/>
        <v>0</v>
      </c>
      <c r="AH31" s="24">
        <f t="shared" si="48"/>
        <v>1</v>
      </c>
      <c r="AI31" s="25">
        <v>0</v>
      </c>
      <c r="AJ31" s="26">
        <f t="shared" si="49"/>
        <v>0</v>
      </c>
      <c r="AK31" s="27">
        <f t="shared" ref="AK31" si="53">AJ31*P31</f>
        <v>0</v>
      </c>
      <c r="AL31" s="28">
        <f t="shared" si="50"/>
        <v>0</v>
      </c>
      <c r="AM31" s="29">
        <f t="shared" si="51"/>
        <v>0</v>
      </c>
    </row>
    <row r="32" spans="1:39" ht="39" customHeight="1" x14ac:dyDescent="0.2">
      <c r="A32" s="36" t="s">
        <v>99</v>
      </c>
      <c r="B32" s="37">
        <v>98567</v>
      </c>
      <c r="C32" s="36" t="s">
        <v>47</v>
      </c>
      <c r="D32" s="36" t="s">
        <v>100</v>
      </c>
      <c r="E32" s="38" t="s">
        <v>52</v>
      </c>
      <c r="F32" s="37">
        <v>337.11</v>
      </c>
      <c r="G32" s="40">
        <v>31.34</v>
      </c>
      <c r="H32" s="40">
        <v>1.04</v>
      </c>
      <c r="I32" s="40">
        <v>21.73</v>
      </c>
      <c r="J32" s="40">
        <f t="shared" si="40"/>
        <v>54.11</v>
      </c>
      <c r="K32" s="40">
        <f t="shared" si="20"/>
        <v>18241.02</v>
      </c>
      <c r="L32" s="40">
        <f>TRUNC(G32*(1+$P$48),2)</f>
        <v>37.78</v>
      </c>
      <c r="M32" s="40">
        <f>ROUND(H32*(1+$P$48),2)+0.01</f>
        <v>1.26</v>
      </c>
      <c r="N32" s="40">
        <f t="shared" si="38"/>
        <v>26.2</v>
      </c>
      <c r="O32" s="40">
        <f t="shared" si="42"/>
        <v>65.239999999999995</v>
      </c>
      <c r="P32" s="40">
        <f t="shared" si="43"/>
        <v>21993.05</v>
      </c>
      <c r="Q32" s="40"/>
      <c r="R32" s="41">
        <f t="shared" si="0"/>
        <v>8.8068268389890417E-2</v>
      </c>
      <c r="T32" s="24">
        <v>0</v>
      </c>
      <c r="U32" s="25">
        <v>0</v>
      </c>
      <c r="V32" s="26">
        <f t="shared" si="44"/>
        <v>0</v>
      </c>
      <c r="W32" s="27">
        <f t="shared" si="45"/>
        <v>0</v>
      </c>
      <c r="X32" s="28">
        <f t="shared" si="46"/>
        <v>1</v>
      </c>
      <c r="Y32" s="29">
        <f t="shared" si="47"/>
        <v>21993.05</v>
      </c>
      <c r="AA32" s="24">
        <f t="shared" si="2"/>
        <v>0</v>
      </c>
      <c r="AB32" s="25">
        <v>0.8</v>
      </c>
      <c r="AC32" s="26">
        <f>AB32*F32</f>
        <v>269.68800000000005</v>
      </c>
      <c r="AD32" s="27">
        <f t="shared" si="52"/>
        <v>17594.439999999999</v>
      </c>
      <c r="AE32" s="28">
        <f t="shared" si="12"/>
        <v>0.19999999999999996</v>
      </c>
      <c r="AF32" s="29">
        <f t="shared" si="13"/>
        <v>4398.6100000000006</v>
      </c>
      <c r="AH32" s="24">
        <f t="shared" si="48"/>
        <v>0.8</v>
      </c>
      <c r="AI32" s="25">
        <v>0.19999980000000001</v>
      </c>
      <c r="AJ32" s="26">
        <f t="shared" si="49"/>
        <v>67.42193257800001</v>
      </c>
      <c r="AK32" s="27">
        <f>AJ32*O32</f>
        <v>4398.6068813887205</v>
      </c>
      <c r="AL32" s="28">
        <f t="shared" si="50"/>
        <v>1.9999999995023998E-7</v>
      </c>
      <c r="AM32" s="29">
        <f t="shared" si="51"/>
        <v>3.1186112801151467E-3</v>
      </c>
    </row>
    <row r="33" spans="1:40" ht="52.15" customHeight="1" x14ac:dyDescent="0.2">
      <c r="A33" s="36" t="s">
        <v>101</v>
      </c>
      <c r="B33" s="37">
        <v>94275</v>
      </c>
      <c r="C33" s="36" t="s">
        <v>47</v>
      </c>
      <c r="D33" s="36" t="s">
        <v>102</v>
      </c>
      <c r="E33" s="38" t="s">
        <v>61</v>
      </c>
      <c r="F33" s="37">
        <v>18.739999999999998</v>
      </c>
      <c r="G33" s="40">
        <v>8.11</v>
      </c>
      <c r="H33" s="40">
        <v>0.27</v>
      </c>
      <c r="I33" s="40">
        <v>18.2</v>
      </c>
      <c r="J33" s="40">
        <f t="shared" si="40"/>
        <v>26.58</v>
      </c>
      <c r="K33" s="40">
        <f t="shared" si="20"/>
        <v>498.1</v>
      </c>
      <c r="L33" s="40">
        <f t="shared" si="41"/>
        <v>9.7799999999999994</v>
      </c>
      <c r="M33" s="40">
        <f>TRUNC(H33*(1+$P$48),2)</f>
        <v>0.32</v>
      </c>
      <c r="N33" s="40">
        <f>ROUND(I33*(1+$P$48),2)+0.01</f>
        <v>21.950000000000003</v>
      </c>
      <c r="O33" s="40">
        <f t="shared" si="42"/>
        <v>32.050000000000004</v>
      </c>
      <c r="P33" s="40">
        <f t="shared" si="43"/>
        <v>600.61</v>
      </c>
      <c r="Q33" s="40"/>
      <c r="R33" s="41">
        <f t="shared" si="0"/>
        <v>2.4050635395114405E-3</v>
      </c>
      <c r="T33" s="24">
        <v>0</v>
      </c>
      <c r="U33" s="25">
        <v>0</v>
      </c>
      <c r="V33" s="26">
        <f t="shared" si="44"/>
        <v>0</v>
      </c>
      <c r="W33" s="27">
        <f t="shared" si="45"/>
        <v>0</v>
      </c>
      <c r="X33" s="28">
        <f t="shared" si="46"/>
        <v>1</v>
      </c>
      <c r="Y33" s="29">
        <f t="shared" si="47"/>
        <v>600.61</v>
      </c>
      <c r="AA33" s="24">
        <f t="shared" si="2"/>
        <v>0</v>
      </c>
      <c r="AB33" s="25">
        <v>0</v>
      </c>
      <c r="AC33" s="26">
        <f t="shared" ref="AC33:AC43" si="54">AB33*M33</f>
        <v>0</v>
      </c>
      <c r="AD33" s="27">
        <f t="shared" si="52"/>
        <v>0</v>
      </c>
      <c r="AE33" s="28">
        <f t="shared" si="12"/>
        <v>1</v>
      </c>
      <c r="AF33" s="29">
        <f t="shared" si="13"/>
        <v>600.61</v>
      </c>
      <c r="AH33" s="24">
        <f t="shared" si="48"/>
        <v>0</v>
      </c>
      <c r="AI33" s="25">
        <v>0.99998500000000001</v>
      </c>
      <c r="AJ33" s="26">
        <f t="shared" si="49"/>
        <v>18.7397189</v>
      </c>
      <c r="AK33" s="27">
        <f>AJ33*O33</f>
        <v>600.60799074500005</v>
      </c>
      <c r="AL33" s="28">
        <f t="shared" si="50"/>
        <v>1.4999999999987246E-5</v>
      </c>
      <c r="AM33" s="29">
        <f t="shared" si="51"/>
        <v>2.0092549999617404E-3</v>
      </c>
    </row>
    <row r="34" spans="1:40" ht="39" customHeight="1" x14ac:dyDescent="0.2">
      <c r="A34" s="36" t="s">
        <v>103</v>
      </c>
      <c r="B34" s="37">
        <v>102491</v>
      </c>
      <c r="C34" s="36" t="s">
        <v>47</v>
      </c>
      <c r="D34" s="36" t="s">
        <v>104</v>
      </c>
      <c r="E34" s="38" t="s">
        <v>52</v>
      </c>
      <c r="F34" s="37">
        <v>369.45</v>
      </c>
      <c r="G34" s="40">
        <v>7.78</v>
      </c>
      <c r="H34" s="40">
        <v>0.4</v>
      </c>
      <c r="I34" s="40">
        <v>7.28</v>
      </c>
      <c r="J34" s="40">
        <f t="shared" si="40"/>
        <v>15.46</v>
      </c>
      <c r="K34" s="40">
        <f t="shared" si="20"/>
        <v>5711.69</v>
      </c>
      <c r="L34" s="40">
        <f t="shared" si="41"/>
        <v>9.3800000000000008</v>
      </c>
      <c r="M34" s="40">
        <f t="shared" si="38"/>
        <v>0.48</v>
      </c>
      <c r="N34" s="40">
        <f t="shared" si="38"/>
        <v>8.7799999999999994</v>
      </c>
      <c r="O34" s="40">
        <f t="shared" si="42"/>
        <v>18.64</v>
      </c>
      <c r="P34" s="40">
        <f t="shared" si="43"/>
        <v>6886.54</v>
      </c>
      <c r="Q34" s="40"/>
      <c r="R34" s="41">
        <f t="shared" si="0"/>
        <v>2.757624126702372E-2</v>
      </c>
      <c r="T34" s="24">
        <v>0</v>
      </c>
      <c r="U34" s="25">
        <v>0</v>
      </c>
      <c r="V34" s="26">
        <f t="shared" si="44"/>
        <v>0</v>
      </c>
      <c r="W34" s="27">
        <f t="shared" si="45"/>
        <v>0</v>
      </c>
      <c r="X34" s="28">
        <f t="shared" si="46"/>
        <v>1</v>
      </c>
      <c r="Y34" s="29">
        <f t="shared" si="47"/>
        <v>6886.54</v>
      </c>
      <c r="AA34" s="24">
        <f t="shared" si="2"/>
        <v>0</v>
      </c>
      <c r="AB34" s="25">
        <v>0</v>
      </c>
      <c r="AC34" s="26">
        <f t="shared" si="54"/>
        <v>0</v>
      </c>
      <c r="AD34" s="27">
        <f t="shared" si="52"/>
        <v>0</v>
      </c>
      <c r="AE34" s="28">
        <f t="shared" si="12"/>
        <v>1</v>
      </c>
      <c r="AF34" s="29">
        <f t="shared" si="13"/>
        <v>6886.54</v>
      </c>
      <c r="AH34" s="24">
        <f t="shared" si="48"/>
        <v>0</v>
      </c>
      <c r="AI34" s="25">
        <v>0.99999850000000001</v>
      </c>
      <c r="AJ34" s="26">
        <f t="shared" si="49"/>
        <v>369.449445825</v>
      </c>
      <c r="AK34" s="27">
        <f>AJ34*O34</f>
        <v>6886.5376701780006</v>
      </c>
      <c r="AL34" s="28">
        <f t="shared" si="50"/>
        <v>1.4999999999876223E-6</v>
      </c>
      <c r="AM34" s="29">
        <f t="shared" si="51"/>
        <v>2.329821999410342E-3</v>
      </c>
    </row>
    <row r="35" spans="1:40" ht="39" customHeight="1" x14ac:dyDescent="0.2">
      <c r="A35" s="59" t="s">
        <v>105</v>
      </c>
      <c r="B35" s="60">
        <v>98549</v>
      </c>
      <c r="C35" s="59" t="s">
        <v>138</v>
      </c>
      <c r="D35" s="59" t="s">
        <v>106</v>
      </c>
      <c r="E35" s="61" t="s">
        <v>52</v>
      </c>
      <c r="F35" s="60">
        <v>444.15</v>
      </c>
      <c r="G35" s="62">
        <v>12.35</v>
      </c>
      <c r="H35" s="62">
        <v>0.37</v>
      </c>
      <c r="I35" s="62">
        <v>105.38</v>
      </c>
      <c r="J35" s="62">
        <f t="shared" si="40"/>
        <v>118.1</v>
      </c>
      <c r="K35" s="62">
        <f t="shared" si="20"/>
        <v>52454.11</v>
      </c>
      <c r="L35" s="62">
        <f>ROUND(G35*(1+$P$48),2)-0.01</f>
        <v>14.88</v>
      </c>
      <c r="M35" s="62">
        <f t="shared" si="38"/>
        <v>0.45</v>
      </c>
      <c r="N35" s="62">
        <f>ROUND(I35*(1+$P$48),2)+0.01</f>
        <v>127.07000000000001</v>
      </c>
      <c r="O35" s="62">
        <f t="shared" si="42"/>
        <v>142.4</v>
      </c>
      <c r="P35" s="62">
        <f t="shared" si="43"/>
        <v>63246.96</v>
      </c>
      <c r="Q35" s="62"/>
      <c r="R35" s="63">
        <f t="shared" si="0"/>
        <v>0.25326411062243137</v>
      </c>
      <c r="T35" s="24">
        <v>0</v>
      </c>
      <c r="U35" s="25">
        <v>0</v>
      </c>
      <c r="V35" s="26">
        <f t="shared" si="44"/>
        <v>0</v>
      </c>
      <c r="W35" s="27">
        <f t="shared" si="45"/>
        <v>0</v>
      </c>
      <c r="X35" s="28">
        <f t="shared" si="46"/>
        <v>1</v>
      </c>
      <c r="Y35" s="29">
        <f t="shared" si="47"/>
        <v>63246.96</v>
      </c>
      <c r="AA35" s="24">
        <f t="shared" si="2"/>
        <v>0</v>
      </c>
      <c r="AB35" s="25">
        <v>0.83181349999999998</v>
      </c>
      <c r="AC35" s="26">
        <f>'[1]BM 2º MEMORIA DE CÁLCULO'!E48</f>
        <v>369.44550000000004</v>
      </c>
      <c r="AD35" s="27">
        <f t="shared" si="52"/>
        <v>52609.675161959996</v>
      </c>
      <c r="AE35" s="28">
        <f t="shared" si="12"/>
        <v>0.16818650000000002</v>
      </c>
      <c r="AF35" s="29">
        <f t="shared" si="13"/>
        <v>10637.284838040003</v>
      </c>
      <c r="AH35" s="24">
        <f t="shared" si="48"/>
        <v>0.83181349999999998</v>
      </c>
      <c r="AI35" s="25">
        <v>0.16818649999999999</v>
      </c>
      <c r="AJ35" s="26">
        <f>AI35*F35</f>
        <v>74.700033974999997</v>
      </c>
      <c r="AK35" s="27">
        <f>AJ35*O35</f>
        <v>10637.284838039999</v>
      </c>
      <c r="AL35" s="28">
        <f t="shared" si="50"/>
        <v>0</v>
      </c>
      <c r="AM35" s="29">
        <f t="shared" si="51"/>
        <v>0</v>
      </c>
    </row>
    <row r="36" spans="1:40" ht="39" customHeight="1" x14ac:dyDescent="0.2">
      <c r="A36" s="36" t="s">
        <v>107</v>
      </c>
      <c r="B36" s="37">
        <v>95240</v>
      </c>
      <c r="C36" s="36" t="s">
        <v>47</v>
      </c>
      <c r="D36" s="36" t="s">
        <v>108</v>
      </c>
      <c r="E36" s="38" t="s">
        <v>52</v>
      </c>
      <c r="F36" s="37">
        <v>369.45</v>
      </c>
      <c r="G36" s="40">
        <v>6.14</v>
      </c>
      <c r="H36" s="40">
        <v>0.21</v>
      </c>
      <c r="I36" s="40">
        <v>8.57</v>
      </c>
      <c r="J36" s="40">
        <f>SUM(G36:I36)</f>
        <v>14.92</v>
      </c>
      <c r="K36" s="40">
        <f t="shared" si="20"/>
        <v>5512.19</v>
      </c>
      <c r="L36" s="40">
        <f t="shared" si="41"/>
        <v>7.4</v>
      </c>
      <c r="M36" s="40">
        <f t="shared" si="38"/>
        <v>0.25</v>
      </c>
      <c r="N36" s="40">
        <f>ROUND(I36*(1+$P$48),2)+0.01</f>
        <v>10.34</v>
      </c>
      <c r="O36" s="40">
        <f t="shared" si="42"/>
        <v>17.990000000000002</v>
      </c>
      <c r="P36" s="40">
        <f t="shared" si="43"/>
        <v>6646.4</v>
      </c>
      <c r="Q36" s="40"/>
      <c r="R36" s="41">
        <f t="shared" si="0"/>
        <v>2.6614632305504135E-2</v>
      </c>
      <c r="T36" s="24">
        <v>0</v>
      </c>
      <c r="U36" s="25">
        <v>0</v>
      </c>
      <c r="V36" s="26">
        <f t="shared" si="44"/>
        <v>0</v>
      </c>
      <c r="W36" s="27">
        <f t="shared" si="45"/>
        <v>0</v>
      </c>
      <c r="X36" s="28">
        <f t="shared" si="46"/>
        <v>1</v>
      </c>
      <c r="Y36" s="29">
        <f t="shared" si="47"/>
        <v>6646.4</v>
      </c>
      <c r="AA36" s="24">
        <f t="shared" si="2"/>
        <v>0</v>
      </c>
      <c r="AB36" s="25">
        <v>1</v>
      </c>
      <c r="AC36" s="26">
        <f>AB36*F36</f>
        <v>369.45</v>
      </c>
      <c r="AD36" s="27">
        <f t="shared" si="52"/>
        <v>6646.4</v>
      </c>
      <c r="AE36" s="28">
        <f t="shared" si="12"/>
        <v>0</v>
      </c>
      <c r="AF36" s="29">
        <f t="shared" si="13"/>
        <v>0</v>
      </c>
      <c r="AH36" s="24">
        <f t="shared" si="48"/>
        <v>1</v>
      </c>
      <c r="AI36" s="25">
        <v>0</v>
      </c>
      <c r="AJ36" s="26">
        <f t="shared" ref="AJ36:AJ38" si="55">AI36*F36</f>
        <v>0</v>
      </c>
      <c r="AK36" s="27">
        <f t="shared" ref="AK36:AK38" si="56">AJ36*P36</f>
        <v>0</v>
      </c>
      <c r="AL36" s="28">
        <f t="shared" si="50"/>
        <v>0</v>
      </c>
      <c r="AM36" s="29">
        <f t="shared" si="51"/>
        <v>0</v>
      </c>
    </row>
    <row r="37" spans="1:40" ht="39" customHeight="1" x14ac:dyDescent="0.2">
      <c r="A37" s="36" t="s">
        <v>109</v>
      </c>
      <c r="B37" s="37">
        <v>97086</v>
      </c>
      <c r="C37" s="36" t="s">
        <v>47</v>
      </c>
      <c r="D37" s="36" t="s">
        <v>110</v>
      </c>
      <c r="E37" s="38" t="s">
        <v>52</v>
      </c>
      <c r="F37" s="37">
        <v>34.340000000000003</v>
      </c>
      <c r="G37" s="40">
        <v>74.489999999999995</v>
      </c>
      <c r="H37" s="40">
        <v>2.23</v>
      </c>
      <c r="I37" s="40">
        <v>32.409999999999997</v>
      </c>
      <c r="J37" s="40">
        <f t="shared" si="40"/>
        <v>109.13</v>
      </c>
      <c r="K37" s="40">
        <f t="shared" si="20"/>
        <v>3747.52</v>
      </c>
      <c r="L37" s="40">
        <f>ROUND(G37*(1+$P$48),2)+0.01</f>
        <v>89.820000000000007</v>
      </c>
      <c r="M37" s="40">
        <f t="shared" si="38"/>
        <v>2.69</v>
      </c>
      <c r="N37" s="40">
        <f>ROUND(I37*(1+$P$48),2)-0.01</f>
        <v>39.07</v>
      </c>
      <c r="O37" s="40">
        <f t="shared" si="42"/>
        <v>131.58000000000001</v>
      </c>
      <c r="P37" s="40">
        <f t="shared" si="43"/>
        <v>4518.45</v>
      </c>
      <c r="Q37" s="40"/>
      <c r="R37" s="41">
        <f t="shared" si="0"/>
        <v>1.8093537154069143E-2</v>
      </c>
      <c r="T37" s="24">
        <v>0</v>
      </c>
      <c r="U37" s="25">
        <v>0</v>
      </c>
      <c r="V37" s="26">
        <f t="shared" si="44"/>
        <v>0</v>
      </c>
      <c r="W37" s="27">
        <f t="shared" si="45"/>
        <v>0</v>
      </c>
      <c r="X37" s="28">
        <f t="shared" si="46"/>
        <v>1</v>
      </c>
      <c r="Y37" s="29">
        <f t="shared" si="47"/>
        <v>4518.45</v>
      </c>
      <c r="AA37" s="24">
        <f t="shared" si="2"/>
        <v>0</v>
      </c>
      <c r="AB37" s="25">
        <v>1</v>
      </c>
      <c r="AC37" s="26">
        <f>AB37*F37</f>
        <v>34.340000000000003</v>
      </c>
      <c r="AD37" s="27">
        <f t="shared" si="52"/>
        <v>4518.45</v>
      </c>
      <c r="AE37" s="28">
        <f t="shared" si="12"/>
        <v>0</v>
      </c>
      <c r="AF37" s="29">
        <f t="shared" si="13"/>
        <v>0</v>
      </c>
      <c r="AH37" s="24">
        <f t="shared" si="48"/>
        <v>1</v>
      </c>
      <c r="AI37" s="25">
        <v>0</v>
      </c>
      <c r="AJ37" s="26">
        <f t="shared" si="55"/>
        <v>0</v>
      </c>
      <c r="AK37" s="27">
        <f t="shared" si="56"/>
        <v>0</v>
      </c>
      <c r="AL37" s="28">
        <f t="shared" si="50"/>
        <v>0</v>
      </c>
      <c r="AM37" s="29">
        <f t="shared" si="51"/>
        <v>0</v>
      </c>
    </row>
    <row r="38" spans="1:40" ht="39" customHeight="1" x14ac:dyDescent="0.2">
      <c r="A38" s="36" t="s">
        <v>111</v>
      </c>
      <c r="B38" s="37">
        <v>97096</v>
      </c>
      <c r="C38" s="36" t="s">
        <v>47</v>
      </c>
      <c r="D38" s="36" t="s">
        <v>112</v>
      </c>
      <c r="E38" s="38" t="s">
        <v>55</v>
      </c>
      <c r="F38" s="37">
        <v>2.06</v>
      </c>
      <c r="G38" s="40">
        <v>15.22</v>
      </c>
      <c r="H38" s="40">
        <v>0.52</v>
      </c>
      <c r="I38" s="40">
        <v>289.64999999999998</v>
      </c>
      <c r="J38" s="40">
        <f t="shared" si="40"/>
        <v>305.39</v>
      </c>
      <c r="K38" s="40">
        <f t="shared" si="20"/>
        <v>629.1</v>
      </c>
      <c r="L38" s="40">
        <f t="shared" si="41"/>
        <v>18.350000000000001</v>
      </c>
      <c r="M38" s="40">
        <f t="shared" si="38"/>
        <v>0.63</v>
      </c>
      <c r="N38" s="40">
        <f>ROUND(I38*(1+$P$48),2)+0.01</f>
        <v>349.25</v>
      </c>
      <c r="O38" s="40">
        <f t="shared" si="42"/>
        <v>368.23</v>
      </c>
      <c r="P38" s="40">
        <f t="shared" ref="P38" si="57">ROUND(F38*O38,2)</f>
        <v>758.55</v>
      </c>
      <c r="Q38" s="40"/>
      <c r="R38" s="41">
        <f t="shared" si="0"/>
        <v>3.0375134411621571E-3</v>
      </c>
      <c r="T38" s="24">
        <v>0</v>
      </c>
      <c r="U38" s="25">
        <v>0</v>
      </c>
      <c r="V38" s="26">
        <f t="shared" si="44"/>
        <v>0</v>
      </c>
      <c r="W38" s="27">
        <f t="shared" si="45"/>
        <v>0</v>
      </c>
      <c r="X38" s="28">
        <f t="shared" si="46"/>
        <v>1</v>
      </c>
      <c r="Y38" s="29">
        <f t="shared" si="47"/>
        <v>758.55</v>
      </c>
      <c r="AA38" s="24">
        <f t="shared" si="2"/>
        <v>0</v>
      </c>
      <c r="AB38" s="25">
        <v>1</v>
      </c>
      <c r="AC38" s="26">
        <f>AB38*F38</f>
        <v>2.06</v>
      </c>
      <c r="AD38" s="27">
        <f t="shared" si="52"/>
        <v>758.55</v>
      </c>
      <c r="AE38" s="28">
        <f t="shared" si="12"/>
        <v>0</v>
      </c>
      <c r="AF38" s="29">
        <f t="shared" si="13"/>
        <v>0</v>
      </c>
      <c r="AH38" s="24">
        <f t="shared" si="48"/>
        <v>1</v>
      </c>
      <c r="AI38" s="25">
        <v>0</v>
      </c>
      <c r="AJ38" s="26">
        <f t="shared" si="55"/>
        <v>0</v>
      </c>
      <c r="AK38" s="27">
        <f t="shared" si="56"/>
        <v>0</v>
      </c>
      <c r="AL38" s="28">
        <f t="shared" si="50"/>
        <v>0</v>
      </c>
      <c r="AM38" s="29">
        <f t="shared" si="51"/>
        <v>0</v>
      </c>
    </row>
    <row r="39" spans="1:40" ht="42" customHeight="1" x14ac:dyDescent="0.2">
      <c r="A39" s="6" t="s">
        <v>113</v>
      </c>
      <c r="B39" s="6"/>
      <c r="C39" s="6"/>
      <c r="D39" s="6" t="s">
        <v>114</v>
      </c>
      <c r="E39" s="6"/>
      <c r="F39" s="7"/>
      <c r="G39" s="10"/>
      <c r="H39" s="10"/>
      <c r="I39" s="10"/>
      <c r="J39" s="10"/>
      <c r="K39" s="45"/>
      <c r="L39" s="46"/>
      <c r="M39" s="46"/>
      <c r="N39" s="46"/>
      <c r="O39" s="46"/>
      <c r="P39" s="45"/>
      <c r="Q39" s="10">
        <f>SUM(P40:P41)</f>
        <v>2654.7</v>
      </c>
      <c r="R39" s="47">
        <f>Q39/$Q$49</f>
        <v>1.0630396061239441E-2</v>
      </c>
      <c r="T39" s="24">
        <v>0</v>
      </c>
      <c r="U39" s="25">
        <v>0</v>
      </c>
      <c r="V39" s="26">
        <f t="shared" si="44"/>
        <v>0</v>
      </c>
      <c r="W39" s="27">
        <f t="shared" ref="W39" si="58">P39*V39</f>
        <v>0</v>
      </c>
      <c r="X39" s="30"/>
      <c r="Y39" s="29"/>
      <c r="AA39" s="24" t="s">
        <v>43</v>
      </c>
      <c r="AB39" s="25" t="s">
        <v>43</v>
      </c>
      <c r="AC39" s="26" t="s">
        <v>43</v>
      </c>
      <c r="AD39" s="27" t="s">
        <v>43</v>
      </c>
      <c r="AE39" s="28" t="s">
        <v>43</v>
      </c>
      <c r="AF39" s="29" t="s">
        <v>43</v>
      </c>
      <c r="AH39" s="24" t="s">
        <v>43</v>
      </c>
      <c r="AI39" s="25" t="s">
        <v>43</v>
      </c>
      <c r="AJ39" s="26" t="s">
        <v>43</v>
      </c>
      <c r="AK39" s="27" t="s">
        <v>43</v>
      </c>
      <c r="AL39" s="28" t="s">
        <v>43</v>
      </c>
      <c r="AM39" s="29" t="s">
        <v>43</v>
      </c>
    </row>
    <row r="40" spans="1:40" ht="39" customHeight="1" x14ac:dyDescent="0.2">
      <c r="A40" s="65" t="s">
        <v>115</v>
      </c>
      <c r="B40" s="66">
        <v>12618</v>
      </c>
      <c r="C40" s="65" t="s">
        <v>135</v>
      </c>
      <c r="D40" s="65" t="s">
        <v>116</v>
      </c>
      <c r="E40" s="67" t="s">
        <v>49</v>
      </c>
      <c r="F40" s="66">
        <v>25</v>
      </c>
      <c r="G40" s="62">
        <v>0</v>
      </c>
      <c r="H40" s="62">
        <v>0</v>
      </c>
      <c r="I40" s="62">
        <v>79.38000000000001</v>
      </c>
      <c r="J40" s="62">
        <f t="shared" ref="J40:J41" si="59">SUM(G40:I40)</f>
        <v>79.38000000000001</v>
      </c>
      <c r="K40" s="62">
        <f t="shared" si="20"/>
        <v>1984.5</v>
      </c>
      <c r="L40" s="62">
        <f>ROUND(G40*(1+$P$48),2)</f>
        <v>0</v>
      </c>
      <c r="M40" s="62">
        <f t="shared" si="38"/>
        <v>0</v>
      </c>
      <c r="N40" s="62">
        <f>ROUND(I40*(1+$P$48),2)</f>
        <v>95.71</v>
      </c>
      <c r="O40" s="62">
        <f t="shared" ref="O40:O41" si="60">SUM(L40:N40)</f>
        <v>95.71</v>
      </c>
      <c r="P40" s="62">
        <f>ROUND(F40*O40,2)</f>
        <v>2392.75</v>
      </c>
      <c r="Q40" s="62"/>
      <c r="R40" s="63">
        <f t="shared" si="0"/>
        <v>9.5814518309152354E-3</v>
      </c>
      <c r="T40" s="24">
        <v>0</v>
      </c>
      <c r="U40" s="25">
        <v>0</v>
      </c>
      <c r="V40" s="26">
        <f t="shared" si="44"/>
        <v>0</v>
      </c>
      <c r="W40" s="27">
        <f>P40*U40</f>
        <v>0</v>
      </c>
      <c r="X40" s="28">
        <f t="shared" ref="X40:X43" si="61">100%-T40-U40</f>
        <v>1</v>
      </c>
      <c r="Y40" s="29">
        <f t="shared" ref="Y40:Y43" si="62">P40*X40</f>
        <v>2392.75</v>
      </c>
      <c r="AA40" s="24">
        <f t="shared" si="2"/>
        <v>0</v>
      </c>
      <c r="AB40" s="25">
        <v>0</v>
      </c>
      <c r="AC40" s="26">
        <f>AB40*F40</f>
        <v>0</v>
      </c>
      <c r="AD40" s="27">
        <f t="shared" si="52"/>
        <v>0</v>
      </c>
      <c r="AE40" s="28">
        <f t="shared" si="12"/>
        <v>1</v>
      </c>
      <c r="AF40" s="29">
        <f t="shared" si="13"/>
        <v>2392.75</v>
      </c>
      <c r="AH40" s="24">
        <f>SUM(U40+AB40)</f>
        <v>0</v>
      </c>
      <c r="AI40" s="25">
        <v>1</v>
      </c>
      <c r="AJ40" s="26">
        <f>AI40*F40</f>
        <v>25</v>
      </c>
      <c r="AK40" s="27">
        <f>AJ40*O40</f>
        <v>2392.75</v>
      </c>
      <c r="AL40" s="28">
        <f t="shared" ref="AL40:AL41" si="63">AE40-AI40</f>
        <v>0</v>
      </c>
      <c r="AM40" s="29">
        <f t="shared" ref="AM40:AM41" si="64">AF40-AK40</f>
        <v>0</v>
      </c>
    </row>
    <row r="41" spans="1:40" ht="25.9" customHeight="1" x14ac:dyDescent="0.2">
      <c r="A41" s="18" t="s">
        <v>117</v>
      </c>
      <c r="B41" s="42">
        <v>13115</v>
      </c>
      <c r="C41" s="18" t="s">
        <v>47</v>
      </c>
      <c r="D41" s="18" t="s">
        <v>118</v>
      </c>
      <c r="E41" s="20" t="s">
        <v>61</v>
      </c>
      <c r="F41" s="42">
        <v>20.37</v>
      </c>
      <c r="G41" s="22">
        <v>0</v>
      </c>
      <c r="H41" s="22">
        <v>0</v>
      </c>
      <c r="I41" s="22">
        <v>10.67</v>
      </c>
      <c r="J41" s="22">
        <f t="shared" si="59"/>
        <v>10.67</v>
      </c>
      <c r="K41" s="22">
        <f t="shared" si="20"/>
        <v>217.34</v>
      </c>
      <c r="L41" s="22">
        <f>ROUND(G41*(1+$P$48),2)</f>
        <v>0</v>
      </c>
      <c r="M41" s="22">
        <f t="shared" si="38"/>
        <v>0</v>
      </c>
      <c r="N41" s="22">
        <f>TRUNC(I41*(1+$P$48),2)</f>
        <v>12.86</v>
      </c>
      <c r="O41" s="22">
        <f t="shared" si="60"/>
        <v>12.86</v>
      </c>
      <c r="P41" s="22">
        <f>TRUNC(F41*O41,2)</f>
        <v>261.95</v>
      </c>
      <c r="Q41" s="22"/>
      <c r="R41" s="23">
        <f t="shared" si="0"/>
        <v>1.0489442303242068E-3</v>
      </c>
      <c r="T41" s="24">
        <v>0</v>
      </c>
      <c r="U41" s="25">
        <v>0</v>
      </c>
      <c r="V41" s="26">
        <f t="shared" si="44"/>
        <v>0</v>
      </c>
      <c r="W41" s="27">
        <f>P41*U41</f>
        <v>0</v>
      </c>
      <c r="X41" s="28">
        <f t="shared" si="61"/>
        <v>1</v>
      </c>
      <c r="Y41" s="29">
        <f t="shared" si="62"/>
        <v>261.95</v>
      </c>
      <c r="AA41" s="24">
        <f t="shared" si="2"/>
        <v>0</v>
      </c>
      <c r="AB41" s="25">
        <v>0</v>
      </c>
      <c r="AC41" s="26">
        <f>AB41*F41</f>
        <v>0</v>
      </c>
      <c r="AD41" s="27">
        <f t="shared" si="52"/>
        <v>0</v>
      </c>
      <c r="AE41" s="28">
        <f t="shared" si="12"/>
        <v>1</v>
      </c>
      <c r="AF41" s="29">
        <f t="shared" si="13"/>
        <v>261.95</v>
      </c>
      <c r="AH41" s="24">
        <f>SUM(U41+AB41)</f>
        <v>0</v>
      </c>
      <c r="AI41" s="25">
        <v>0.99995000000000001</v>
      </c>
      <c r="AJ41" s="26">
        <f>AI41*F41</f>
        <v>20.3689815</v>
      </c>
      <c r="AK41" s="27">
        <f>AJ41*O41</f>
        <v>261.94510208999998</v>
      </c>
      <c r="AL41" s="28">
        <f t="shared" si="63"/>
        <v>4.9999999999994493E-5</v>
      </c>
      <c r="AM41" s="29">
        <f t="shared" si="64"/>
        <v>4.897910000011052E-3</v>
      </c>
    </row>
    <row r="42" spans="1:40" ht="46.15" customHeight="1" x14ac:dyDescent="0.2">
      <c r="A42" s="6" t="s">
        <v>119</v>
      </c>
      <c r="B42" s="6"/>
      <c r="C42" s="6"/>
      <c r="D42" s="6" t="s">
        <v>120</v>
      </c>
      <c r="E42" s="6"/>
      <c r="F42" s="7"/>
      <c r="G42" s="10">
        <v>0</v>
      </c>
      <c r="H42" s="10">
        <v>0</v>
      </c>
      <c r="I42" s="10">
        <v>0</v>
      </c>
      <c r="J42" s="10"/>
      <c r="K42" s="45"/>
      <c r="L42" s="46"/>
      <c r="M42" s="46"/>
      <c r="N42" s="46"/>
      <c r="O42" s="46"/>
      <c r="P42" s="45"/>
      <c r="Q42" s="10">
        <f>SUM(P43)</f>
        <v>1529.52</v>
      </c>
      <c r="R42" s="47">
        <f>Q42/$Q$49</f>
        <v>6.124761134435888E-3</v>
      </c>
      <c r="T42" s="24" t="s">
        <v>43</v>
      </c>
      <c r="U42" s="25" t="s">
        <v>43</v>
      </c>
      <c r="V42" s="26" t="s">
        <v>43</v>
      </c>
      <c r="W42" s="27" t="s">
        <v>43</v>
      </c>
      <c r="X42" s="28" t="s">
        <v>43</v>
      </c>
      <c r="Y42" s="29" t="s">
        <v>43</v>
      </c>
      <c r="AA42" s="24" t="str">
        <f t="shared" si="2"/>
        <v>-</v>
      </c>
      <c r="AB42" s="25" t="s">
        <v>43</v>
      </c>
      <c r="AC42" s="26" t="s">
        <v>43</v>
      </c>
      <c r="AD42" s="27" t="s">
        <v>43</v>
      </c>
      <c r="AE42" s="28" t="s">
        <v>43</v>
      </c>
      <c r="AF42" s="29" t="s">
        <v>43</v>
      </c>
      <c r="AH42" s="24" t="str">
        <f t="shared" ref="AH42:AH44" si="65">AB42</f>
        <v>-</v>
      </c>
      <c r="AI42" s="25" t="s">
        <v>43</v>
      </c>
      <c r="AJ42" s="26" t="s">
        <v>43</v>
      </c>
      <c r="AK42" s="27" t="s">
        <v>43</v>
      </c>
      <c r="AL42" s="28" t="s">
        <v>43</v>
      </c>
      <c r="AM42" s="29" t="s">
        <v>43</v>
      </c>
    </row>
    <row r="43" spans="1:40" ht="25.9" customHeight="1" x14ac:dyDescent="0.2">
      <c r="A43" s="36" t="s">
        <v>121</v>
      </c>
      <c r="B43" s="37">
        <v>102488</v>
      </c>
      <c r="C43" s="36" t="s">
        <v>47</v>
      </c>
      <c r="D43" s="36" t="s">
        <v>122</v>
      </c>
      <c r="E43" s="38" t="s">
        <v>52</v>
      </c>
      <c r="F43" s="37">
        <v>369.45</v>
      </c>
      <c r="G43" s="40">
        <v>2.71</v>
      </c>
      <c r="H43" s="40">
        <v>0.1</v>
      </c>
      <c r="I43" s="40">
        <v>0.63</v>
      </c>
      <c r="J43" s="40">
        <f>SUM(G43:I43)</f>
        <v>3.44</v>
      </c>
      <c r="K43" s="40">
        <f t="shared" si="20"/>
        <v>1270.9000000000001</v>
      </c>
      <c r="L43" s="40">
        <f>ROUND(G43*(1+$P$48),2)</f>
        <v>3.27</v>
      </c>
      <c r="M43" s="40">
        <f t="shared" si="38"/>
        <v>0.12</v>
      </c>
      <c r="N43" s="40">
        <f>TRUNC(I43*(1+$P$48),2)</f>
        <v>0.75</v>
      </c>
      <c r="O43" s="40">
        <f>SUM(L43:N43)</f>
        <v>4.1400000000000006</v>
      </c>
      <c r="P43" s="40">
        <f>ROUND(F43*O43,2)</f>
        <v>1529.52</v>
      </c>
      <c r="Q43" s="40"/>
      <c r="R43" s="41">
        <f t="shared" si="0"/>
        <v>6.124761134435888E-3</v>
      </c>
      <c r="T43" s="24">
        <v>0</v>
      </c>
      <c r="U43" s="25">
        <v>0</v>
      </c>
      <c r="V43" s="26">
        <f t="shared" si="44"/>
        <v>0</v>
      </c>
      <c r="W43" s="27">
        <f>P43*U43</f>
        <v>0</v>
      </c>
      <c r="X43" s="28">
        <f t="shared" si="61"/>
        <v>1</v>
      </c>
      <c r="Y43" s="29">
        <f t="shared" si="62"/>
        <v>1529.52</v>
      </c>
      <c r="AA43" s="24">
        <f t="shared" si="2"/>
        <v>0</v>
      </c>
      <c r="AB43" s="25">
        <v>0</v>
      </c>
      <c r="AC43" s="26">
        <f t="shared" si="54"/>
        <v>0</v>
      </c>
      <c r="AD43" s="27">
        <f t="shared" si="52"/>
        <v>0</v>
      </c>
      <c r="AE43" s="28">
        <f t="shared" si="12"/>
        <v>1</v>
      </c>
      <c r="AF43" s="29">
        <f t="shared" si="13"/>
        <v>1529.52</v>
      </c>
      <c r="AH43" s="24">
        <f>SUM(U43+AB43)</f>
        <v>0</v>
      </c>
      <c r="AI43" s="25">
        <v>1</v>
      </c>
      <c r="AJ43" s="26">
        <f>AI43*F43</f>
        <v>369.45</v>
      </c>
      <c r="AK43" s="27">
        <f>AJ43*O43</f>
        <v>1529.5230000000001</v>
      </c>
      <c r="AL43" s="28">
        <f t="shared" ref="AL43" si="66">AE43-AI43</f>
        <v>0</v>
      </c>
      <c r="AM43" s="29">
        <f t="shared" ref="AM43" si="67">AF43-AK43</f>
        <v>-3.0000000001564331E-3</v>
      </c>
    </row>
    <row r="44" spans="1:40" ht="42" customHeight="1" x14ac:dyDescent="0.2">
      <c r="A44" s="6" t="s">
        <v>123</v>
      </c>
      <c r="B44" s="6"/>
      <c r="C44" s="6"/>
      <c r="D44" s="6" t="s">
        <v>124</v>
      </c>
      <c r="E44" s="6"/>
      <c r="F44" s="7"/>
      <c r="G44" s="10"/>
      <c r="H44" s="10"/>
      <c r="I44" s="10"/>
      <c r="J44" s="10"/>
      <c r="K44" s="45"/>
      <c r="L44" s="46"/>
      <c r="M44" s="46"/>
      <c r="N44" s="46"/>
      <c r="O44" s="46"/>
      <c r="P44" s="45"/>
      <c r="Q44" s="10">
        <f>SUM(P45:P46)</f>
        <v>58736.66</v>
      </c>
      <c r="R44" s="47">
        <f>Q44/$Q$49</f>
        <v>0.23520320906858039</v>
      </c>
      <c r="T44" s="24" t="s">
        <v>43</v>
      </c>
      <c r="U44" s="25" t="s">
        <v>43</v>
      </c>
      <c r="V44" s="26" t="s">
        <v>43</v>
      </c>
      <c r="W44" s="26" t="s">
        <v>43</v>
      </c>
      <c r="X44" s="30"/>
      <c r="Y44" s="29"/>
      <c r="AA44" s="24" t="str">
        <f t="shared" si="2"/>
        <v>-</v>
      </c>
      <c r="AB44" s="25" t="s">
        <v>43</v>
      </c>
      <c r="AC44" s="26" t="s">
        <v>43</v>
      </c>
      <c r="AD44" s="26" t="s">
        <v>43</v>
      </c>
      <c r="AE44" s="28" t="s">
        <v>43</v>
      </c>
      <c r="AF44" s="29" t="s">
        <v>43</v>
      </c>
      <c r="AH44" s="24" t="str">
        <f t="shared" si="65"/>
        <v>-</v>
      </c>
      <c r="AI44" s="25" t="s">
        <v>43</v>
      </c>
      <c r="AJ44" s="26" t="s">
        <v>43</v>
      </c>
      <c r="AK44" s="26" t="s">
        <v>43</v>
      </c>
      <c r="AL44" s="28" t="s">
        <v>43</v>
      </c>
      <c r="AM44" s="29" t="s">
        <v>43</v>
      </c>
    </row>
    <row r="45" spans="1:40" ht="32.450000000000003" customHeight="1" x14ac:dyDescent="0.2">
      <c r="A45" s="36" t="s">
        <v>125</v>
      </c>
      <c r="B45" s="37">
        <v>93565</v>
      </c>
      <c r="C45" s="36" t="s">
        <v>47</v>
      </c>
      <c r="D45" s="36" t="s">
        <v>126</v>
      </c>
      <c r="E45" s="38" t="s">
        <v>58</v>
      </c>
      <c r="F45" s="37">
        <v>1</v>
      </c>
      <c r="G45" s="40">
        <v>22203.79</v>
      </c>
      <c r="H45" s="40">
        <v>46.14</v>
      </c>
      <c r="I45" s="40">
        <v>152.49</v>
      </c>
      <c r="J45" s="40">
        <f t="shared" ref="J45" si="68">SUM(G45:I45)</f>
        <v>22402.420000000002</v>
      </c>
      <c r="K45" s="40">
        <f t="shared" si="20"/>
        <v>22402.42</v>
      </c>
      <c r="L45" s="40">
        <f>ROUND(G45*(1+$P$48),2)+1.54</f>
        <v>26773.33</v>
      </c>
      <c r="M45" s="40">
        <f t="shared" si="38"/>
        <v>55.63</v>
      </c>
      <c r="N45" s="40">
        <f>ROUND(I45*(1+$P$48),2)+0.01</f>
        <v>183.87</v>
      </c>
      <c r="O45" s="40">
        <f t="shared" ref="O45:O46" si="69">SUM(L45:N45)</f>
        <v>27012.83</v>
      </c>
      <c r="P45" s="40">
        <f>ROUND(F45*O45,2)</f>
        <v>27012.83</v>
      </c>
      <c r="Q45" s="40"/>
      <c r="R45" s="41">
        <f t="shared" si="0"/>
        <v>0.10816931541602842</v>
      </c>
      <c r="T45" s="24">
        <v>0</v>
      </c>
      <c r="U45" s="25">
        <v>0.3</v>
      </c>
      <c r="V45" s="26">
        <f t="shared" si="44"/>
        <v>0.3</v>
      </c>
      <c r="W45" s="27">
        <f>P45*U45</f>
        <v>8103.8490000000002</v>
      </c>
      <c r="X45" s="28">
        <f t="shared" ref="X45:X46" si="70">100%-T45-U45</f>
        <v>0.7</v>
      </c>
      <c r="Y45" s="29">
        <f t="shared" ref="Y45:Y46" si="71">P45*X45</f>
        <v>18908.981</v>
      </c>
      <c r="AA45" s="24">
        <f t="shared" si="2"/>
        <v>0.3</v>
      </c>
      <c r="AB45" s="25">
        <v>0.3</v>
      </c>
      <c r="AC45" s="26">
        <f>AB45*F45</f>
        <v>0.3</v>
      </c>
      <c r="AD45" s="27">
        <f>AB45*P45</f>
        <v>8103.8490000000002</v>
      </c>
      <c r="AE45" s="28">
        <f t="shared" si="12"/>
        <v>0.39999999999999997</v>
      </c>
      <c r="AF45" s="29">
        <f t="shared" si="13"/>
        <v>10805.132</v>
      </c>
      <c r="AH45" s="24">
        <f>SUM(U45+AB45)</f>
        <v>0.6</v>
      </c>
      <c r="AI45" s="25">
        <v>0.4</v>
      </c>
      <c r="AJ45" s="26">
        <f>AI45*F45</f>
        <v>0.4</v>
      </c>
      <c r="AK45" s="27">
        <f>AJ45*P45</f>
        <v>10805.132000000001</v>
      </c>
      <c r="AL45" s="28">
        <f t="shared" ref="AL45:AL46" si="72">AE45-AI45</f>
        <v>0</v>
      </c>
      <c r="AM45" s="29">
        <f t="shared" ref="AM45" si="73">AF45-AK45</f>
        <v>0</v>
      </c>
    </row>
    <row r="46" spans="1:40" ht="24" customHeight="1" x14ac:dyDescent="0.2">
      <c r="A46" s="36" t="s">
        <v>127</v>
      </c>
      <c r="B46" s="37">
        <v>94295</v>
      </c>
      <c r="C46" s="36" t="s">
        <v>47</v>
      </c>
      <c r="D46" s="36" t="s">
        <v>128</v>
      </c>
      <c r="E46" s="38" t="s">
        <v>58</v>
      </c>
      <c r="F46" s="37">
        <v>3</v>
      </c>
      <c r="G46" s="40">
        <v>8530.25</v>
      </c>
      <c r="H46" s="40">
        <v>80.069999999999993</v>
      </c>
      <c r="I46" s="40">
        <v>159.47</v>
      </c>
      <c r="J46" s="40">
        <f>SUM(G46:I46)</f>
        <v>8769.7899999999991</v>
      </c>
      <c r="K46" s="40">
        <f t="shared" si="20"/>
        <v>26309.37</v>
      </c>
      <c r="L46" s="40">
        <f>ROUND(G46*(1+$P$48),2)+0.59</f>
        <v>10285.77</v>
      </c>
      <c r="M46" s="40">
        <f>ROUND(H46*(1+$P$48),2)+0.01</f>
        <v>96.550000000000011</v>
      </c>
      <c r="N46" s="40">
        <f>ROUND(I46*(1+$P$48),2)+0.01</f>
        <v>192.29</v>
      </c>
      <c r="O46" s="40">
        <f t="shared" si="69"/>
        <v>10574.61</v>
      </c>
      <c r="P46" s="40">
        <f>ROUND(F46*O46,2)</f>
        <v>31723.83</v>
      </c>
      <c r="Q46" s="40"/>
      <c r="R46" s="41">
        <f t="shared" si="0"/>
        <v>0.12703389365255197</v>
      </c>
      <c r="T46" s="24">
        <v>0</v>
      </c>
      <c r="U46" s="25">
        <v>0.33333299999999999</v>
      </c>
      <c r="V46" s="26">
        <f t="shared" si="44"/>
        <v>0.99999899999999997</v>
      </c>
      <c r="W46" s="27">
        <f>P46*U46</f>
        <v>10574.599425390001</v>
      </c>
      <c r="X46" s="28">
        <f t="shared" si="70"/>
        <v>0.66666700000000001</v>
      </c>
      <c r="Y46" s="29">
        <f t="shared" si="71"/>
        <v>21149.230574610003</v>
      </c>
      <c r="AA46" s="24">
        <f t="shared" si="2"/>
        <v>0.33333299999999999</v>
      </c>
      <c r="AB46" s="25">
        <v>0.33</v>
      </c>
      <c r="AC46" s="26">
        <f>AB46*F46</f>
        <v>0.99</v>
      </c>
      <c r="AD46" s="27">
        <f>AB46*P46</f>
        <v>10468.8639</v>
      </c>
      <c r="AE46" s="28">
        <f t="shared" si="12"/>
        <v>0.33666699999999999</v>
      </c>
      <c r="AF46" s="29">
        <f>Y46-AD46</f>
        <v>10680.366674610003</v>
      </c>
      <c r="AH46" s="24">
        <f>SUM(U46+AB46)</f>
        <v>0.66333299999999995</v>
      </c>
      <c r="AI46" s="25">
        <v>0.33666699999999999</v>
      </c>
      <c r="AJ46" s="26">
        <f>AI46*F46</f>
        <v>1.0100009999999999</v>
      </c>
      <c r="AK46" s="27">
        <f>AJ46*O46</f>
        <v>10680.366674610001</v>
      </c>
      <c r="AL46" s="28">
        <f t="shared" si="72"/>
        <v>0</v>
      </c>
      <c r="AM46" s="29">
        <f>AF46-AK46</f>
        <v>0</v>
      </c>
    </row>
    <row r="47" spans="1:40" ht="27.75" customHeight="1" x14ac:dyDescent="0.2">
      <c r="A47" s="108" t="s">
        <v>129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48">
        <f>SUM(K7:K46)</f>
        <v>207117.01</v>
      </c>
      <c r="R47" s="49"/>
      <c r="S47" s="50"/>
    </row>
    <row r="48" spans="1:40" ht="23.25" customHeight="1" x14ac:dyDescent="0.2">
      <c r="A48" s="115" t="s">
        <v>130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51">
        <f>[1]bdi_SOMNIUM!F20</f>
        <v>0.20573046619937663</v>
      </c>
      <c r="Q48" s="48">
        <f>ROUND(Q47*P48,2)</f>
        <v>42610.28</v>
      </c>
      <c r="S48" s="52"/>
      <c r="T48" s="117" t="s">
        <v>131</v>
      </c>
      <c r="U48" s="117"/>
      <c r="V48" s="117"/>
      <c r="W48" s="53">
        <f>SUM(W7:W46)</f>
        <v>58194.220272419996</v>
      </c>
      <c r="AA48" s="117" t="s">
        <v>132</v>
      </c>
      <c r="AB48" s="117"/>
      <c r="AC48" s="117"/>
      <c r="AD48" s="53">
        <f>SUM(AD7:AD46)</f>
        <v>103412.10736598998</v>
      </c>
      <c r="AH48" s="127" t="s">
        <v>190</v>
      </c>
      <c r="AI48" s="127"/>
      <c r="AJ48" s="127"/>
      <c r="AK48" s="103">
        <f>SUM(AK7:AK46)-0.83</f>
        <v>88120.925232568959</v>
      </c>
      <c r="AL48" s="104" t="s">
        <v>191</v>
      </c>
      <c r="AM48" s="103">
        <v>0</v>
      </c>
      <c r="AN48" s="104"/>
    </row>
    <row r="49" spans="1:37" ht="23.25" customHeight="1" x14ac:dyDescent="0.2">
      <c r="A49" s="118" t="s">
        <v>133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20"/>
      <c r="Q49" s="48">
        <f>Q47+Q48</f>
        <v>249727.29</v>
      </c>
      <c r="S49" s="52"/>
      <c r="AK49" s="55"/>
    </row>
    <row r="50" spans="1:37" x14ac:dyDescent="0.2">
      <c r="O50" s="49"/>
      <c r="P50" s="121"/>
      <c r="Q50" s="121"/>
      <c r="R50" s="121"/>
      <c r="S50" s="122"/>
      <c r="T50" s="122"/>
    </row>
    <row r="51" spans="1:37" ht="54.75" customHeight="1" x14ac:dyDescent="0.2">
      <c r="A51" s="122"/>
      <c r="B51" s="122"/>
      <c r="C51" s="122"/>
      <c r="D51" s="54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21"/>
      <c r="Q51" s="121"/>
      <c r="R51" s="121"/>
      <c r="S51" s="122"/>
      <c r="T51" s="122"/>
      <c r="AF51" s="55"/>
    </row>
    <row r="52" spans="1:37" ht="60" customHeight="1" x14ac:dyDescent="0.2">
      <c r="A52" s="56"/>
      <c r="B52" s="56"/>
      <c r="C52" s="114" t="s">
        <v>134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57"/>
      <c r="T52" s="58"/>
    </row>
    <row r="53" spans="1:37" ht="70.150000000000006" customHeight="1" x14ac:dyDescent="0.2"/>
  </sheetData>
  <mergeCells count="33">
    <mergeCell ref="AH4:AK5"/>
    <mergeCell ref="AL4:AM5"/>
    <mergeCell ref="AH48:AJ48"/>
    <mergeCell ref="T4:W5"/>
    <mergeCell ref="X4:Y5"/>
    <mergeCell ref="AA4:AD5"/>
    <mergeCell ref="AE4:AF5"/>
    <mergeCell ref="C52:R52"/>
    <mergeCell ref="A48:O48"/>
    <mergeCell ref="T48:V48"/>
    <mergeCell ref="AA48:AC48"/>
    <mergeCell ref="A49:P49"/>
    <mergeCell ref="P50:T50"/>
    <mergeCell ref="A51:C51"/>
    <mergeCell ref="P51:T51"/>
    <mergeCell ref="A47:P47"/>
    <mergeCell ref="A3:R3"/>
    <mergeCell ref="A4:A5"/>
    <mergeCell ref="B4:B5"/>
    <mergeCell ref="C4:C5"/>
    <mergeCell ref="D4:D5"/>
    <mergeCell ref="E4:E5"/>
    <mergeCell ref="F4:F5"/>
    <mergeCell ref="K4:K5"/>
    <mergeCell ref="P4:P5"/>
    <mergeCell ref="Q4:Q5"/>
    <mergeCell ref="R4:R5"/>
    <mergeCell ref="E1:F1"/>
    <mergeCell ref="L1:N1"/>
    <mergeCell ref="O1:T1"/>
    <mergeCell ref="E2:F2"/>
    <mergeCell ref="L2:N2"/>
    <mergeCell ref="O2:T2"/>
  </mergeCells>
  <pageMargins left="0.25" right="0.25" top="0.75" bottom="0.75" header="0.3" footer="0.3"/>
  <pageSetup paperSize="9" scale="25" fitToHeight="3" orientation="landscape" r:id="rId1"/>
  <rowBreaks count="1" manualBreakCount="1">
    <brk id="28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0477-EBE8-477C-8B4A-B4CECDE755A2}">
  <sheetPr>
    <pageSetUpPr fitToPage="1"/>
  </sheetPr>
  <dimension ref="A1:K107"/>
  <sheetViews>
    <sheetView view="pageBreakPreview" topLeftCell="A93" zoomScale="115" zoomScaleNormal="100" zoomScaleSheetLayoutView="115" workbookViewId="0">
      <selection activeCell="E100" sqref="E100"/>
    </sheetView>
  </sheetViews>
  <sheetFormatPr defaultRowHeight="14.25" x14ac:dyDescent="0.2"/>
  <cols>
    <col min="1" max="1" width="49.75" customWidth="1"/>
    <col min="2" max="2" width="15.75" customWidth="1"/>
    <col min="3" max="3" width="36.75" customWidth="1"/>
    <col min="4" max="4" width="31.75" customWidth="1"/>
    <col min="5" max="5" width="23.875" customWidth="1"/>
    <col min="9" max="10" width="11.625" customWidth="1"/>
    <col min="11" max="11" width="23.25" customWidth="1"/>
  </cols>
  <sheetData>
    <row r="1" spans="1:4" ht="26.25" x14ac:dyDescent="0.4">
      <c r="A1" s="132" t="s">
        <v>189</v>
      </c>
      <c r="B1" s="133"/>
      <c r="C1" s="133"/>
      <c r="D1" s="133"/>
    </row>
    <row r="2" spans="1:4" x14ac:dyDescent="0.2">
      <c r="A2" s="134"/>
      <c r="B2" s="135"/>
      <c r="C2" s="135"/>
      <c r="D2" s="135"/>
    </row>
    <row r="3" spans="1:4" x14ac:dyDescent="0.2">
      <c r="A3" s="136" t="s">
        <v>140</v>
      </c>
      <c r="B3" s="137"/>
      <c r="C3" s="137"/>
      <c r="D3" s="137"/>
    </row>
    <row r="4" spans="1:4" x14ac:dyDescent="0.2">
      <c r="A4" s="137"/>
      <c r="B4" s="137"/>
      <c r="C4" s="137"/>
      <c r="D4" s="137"/>
    </row>
    <row r="5" spans="1:4" x14ac:dyDescent="0.2">
      <c r="A5" s="68" t="s">
        <v>141</v>
      </c>
      <c r="B5" s="138" t="s">
        <v>142</v>
      </c>
      <c r="C5" s="138"/>
      <c r="D5" s="69" t="s">
        <v>143</v>
      </c>
    </row>
    <row r="6" spans="1:4" ht="40.15" customHeight="1" x14ac:dyDescent="0.2">
      <c r="A6" s="70">
        <f>'BM 3º MEDIÇÃO 01-02 A 28-02-26'!B10</f>
        <v>105116</v>
      </c>
      <c r="B6" s="139" t="str">
        <f>'BM 3º MEDIÇÃO 01-02 A 28-02-26'!D10</f>
        <v>INSTALAÇÃO E DESINSTALAÇÃO MANUAL DE CONTÊINER OU MÓDULO HABITÁVEL PEQUENO. AF_03/2024</v>
      </c>
      <c r="C6" s="140"/>
      <c r="D6" s="71" t="s">
        <v>143</v>
      </c>
    </row>
    <row r="7" spans="1:4" x14ac:dyDescent="0.2">
      <c r="A7" s="72" t="s">
        <v>145</v>
      </c>
      <c r="B7" s="73" t="s">
        <v>146</v>
      </c>
      <c r="C7" s="74" t="s">
        <v>147</v>
      </c>
      <c r="D7" s="75" t="s">
        <v>148</v>
      </c>
    </row>
    <row r="8" spans="1:4" x14ac:dyDescent="0.2">
      <c r="A8" s="76" t="s">
        <v>149</v>
      </c>
      <c r="B8" s="76">
        <v>0.5</v>
      </c>
      <c r="C8" s="74">
        <v>1</v>
      </c>
      <c r="D8" s="74">
        <f>B8*C8</f>
        <v>0.5</v>
      </c>
    </row>
    <row r="9" spans="1:4" x14ac:dyDescent="0.2">
      <c r="A9" s="77"/>
      <c r="B9" s="129" t="s">
        <v>157</v>
      </c>
      <c r="C9" s="130"/>
      <c r="D9" s="79">
        <f>SUM(D8:D8)</f>
        <v>0.5</v>
      </c>
    </row>
    <row r="10" spans="1:4" x14ac:dyDescent="0.2">
      <c r="A10" s="131"/>
      <c r="B10" s="131"/>
      <c r="C10" s="131"/>
      <c r="D10" s="131"/>
    </row>
    <row r="11" spans="1:4" ht="29.45" customHeight="1" x14ac:dyDescent="0.2">
      <c r="A11" s="70">
        <f>'BM 3º MEDIÇÃO 01-02 A 28-02-26'!B13</f>
        <v>10775</v>
      </c>
      <c r="B11" s="139" t="str">
        <f>'BM 3º MEDIÇÃO 01-02 A 28-02-26'!D13</f>
        <v>LOCACAO DE CONTAINER 2,30 X 6,00 M, ALT. 2,50 M, COM 1 SANITARIO, PARA ESCRITORIO, COMPLETO, SEM DIVISORIAS INTERNAS (NAO INCLUI MOBILIZACAO/DESMOBILIZACAO)</v>
      </c>
      <c r="C11" s="140"/>
      <c r="D11" s="71" t="s">
        <v>144</v>
      </c>
    </row>
    <row r="12" spans="1:4" ht="22.9" customHeight="1" x14ac:dyDescent="0.2">
      <c r="A12" s="72" t="s">
        <v>145</v>
      </c>
      <c r="B12" s="73" t="s">
        <v>146</v>
      </c>
      <c r="C12" s="74" t="s">
        <v>147</v>
      </c>
      <c r="D12" s="75" t="s">
        <v>148</v>
      </c>
    </row>
    <row r="13" spans="1:4" ht="22.9" customHeight="1" x14ac:dyDescent="0.2">
      <c r="A13" s="76" t="s">
        <v>149</v>
      </c>
      <c r="B13" s="76">
        <v>1</v>
      </c>
      <c r="C13" s="74">
        <v>1</v>
      </c>
      <c r="D13" s="74">
        <f>B13*C13</f>
        <v>1</v>
      </c>
    </row>
    <row r="14" spans="1:4" ht="22.9" customHeight="1" x14ac:dyDescent="0.2">
      <c r="A14" s="77"/>
      <c r="B14" s="129" t="s">
        <v>150</v>
      </c>
      <c r="C14" s="130"/>
      <c r="D14" s="79">
        <f>SUM(D13:D13)</f>
        <v>1</v>
      </c>
    </row>
    <row r="15" spans="1:4" x14ac:dyDescent="0.2">
      <c r="A15" s="85"/>
      <c r="B15" s="86"/>
      <c r="C15" s="86"/>
      <c r="D15" s="86"/>
    </row>
    <row r="16" spans="1:4" ht="26.45" customHeight="1" x14ac:dyDescent="0.2">
      <c r="A16" s="70">
        <f>'BM 3º MEDIÇÃO 01-02 A 28-02-26'!B14</f>
        <v>105127</v>
      </c>
      <c r="B16" s="143" t="str">
        <f>'BM 3º MEDIÇÃO 01-02 A 28-02-26'!D14</f>
        <v>INSTALAÇÃO DE CONCERTINA DUPLA CLIPADA, ESPIRAL DE 300 MM. AF_03/2024</v>
      </c>
      <c r="C16" s="143"/>
      <c r="D16" s="87" t="s">
        <v>158</v>
      </c>
    </row>
    <row r="17" spans="1:4" x14ac:dyDescent="0.2">
      <c r="A17" s="72" t="s">
        <v>145</v>
      </c>
      <c r="B17" s="73" t="s">
        <v>152</v>
      </c>
      <c r="C17" s="74" t="s">
        <v>153</v>
      </c>
      <c r="D17" s="75" t="s">
        <v>148</v>
      </c>
    </row>
    <row r="18" spans="1:4" x14ac:dyDescent="0.2">
      <c r="A18" s="89" t="s">
        <v>160</v>
      </c>
      <c r="B18" s="89">
        <v>65</v>
      </c>
      <c r="C18" s="90">
        <v>1</v>
      </c>
      <c r="D18" s="74">
        <f>B18*C18</f>
        <v>65</v>
      </c>
    </row>
    <row r="19" spans="1:4" x14ac:dyDescent="0.2">
      <c r="A19" s="144" t="s">
        <v>159</v>
      </c>
      <c r="B19" s="145"/>
      <c r="C19" s="145"/>
      <c r="D19" s="79">
        <f>D18</f>
        <v>65</v>
      </c>
    </row>
    <row r="20" spans="1:4" x14ac:dyDescent="0.2">
      <c r="A20" s="77"/>
      <c r="B20" s="83"/>
      <c r="C20" s="83"/>
      <c r="D20" s="84"/>
    </row>
    <row r="21" spans="1:4" x14ac:dyDescent="0.2">
      <c r="A21" s="70">
        <f>'BM 3º MEDIÇÃO 01-02 A 28-02-26'!B16</f>
        <v>3</v>
      </c>
      <c r="B21" s="143" t="str">
        <f>'BM 3º MEDIÇÃO 01-02 A 28-02-26'!D16</f>
        <v xml:space="preserve">SISTEMA DE MONITORAMENTO 24 H PARA CANTEIRO </v>
      </c>
      <c r="C21" s="143"/>
      <c r="D21" s="71" t="s">
        <v>162</v>
      </c>
    </row>
    <row r="22" spans="1:4" x14ac:dyDescent="0.2">
      <c r="A22" s="72" t="s">
        <v>145</v>
      </c>
      <c r="B22" s="73" t="s">
        <v>161</v>
      </c>
      <c r="C22" s="74" t="s">
        <v>153</v>
      </c>
      <c r="D22" s="75" t="s">
        <v>148</v>
      </c>
    </row>
    <row r="23" spans="1:4" x14ac:dyDescent="0.2">
      <c r="A23" s="89" t="s">
        <v>160</v>
      </c>
      <c r="B23" s="89">
        <v>197.12</v>
      </c>
      <c r="C23" s="90">
        <v>1</v>
      </c>
      <c r="D23" s="74">
        <f>B23*C23</f>
        <v>197.12</v>
      </c>
    </row>
    <row r="24" spans="1:4" x14ac:dyDescent="0.2">
      <c r="A24" s="144" t="s">
        <v>154</v>
      </c>
      <c r="B24" s="145"/>
      <c r="C24" s="145"/>
      <c r="D24" s="79">
        <f>D23</f>
        <v>197.12</v>
      </c>
    </row>
    <row r="25" spans="1:4" x14ac:dyDescent="0.2">
      <c r="A25" s="83"/>
      <c r="B25" s="83"/>
      <c r="C25" s="83"/>
      <c r="D25" s="83"/>
    </row>
    <row r="26" spans="1:4" ht="36.6" customHeight="1" x14ac:dyDescent="0.2">
      <c r="A26" s="70">
        <f>'BM 3º MEDIÇÃO 01-02 A 28-02-26'!B24</f>
        <v>97637</v>
      </c>
      <c r="B26" s="143" t="str">
        <f>'BM 3º MEDIÇÃO 01-02 A 28-02-26'!D24</f>
        <v>REMOÇÃO DE TAPUME/ CHAPAS METÁLICAS E DE MADEIRA, DE FORMA MANUAL, SEM REAPROVEITAMENTO. AF_09/2023</v>
      </c>
      <c r="C26" s="143"/>
      <c r="D26" s="71" t="s">
        <v>144</v>
      </c>
    </row>
    <row r="27" spans="1:4" x14ac:dyDescent="0.2">
      <c r="A27" s="72" t="s">
        <v>145</v>
      </c>
      <c r="B27" s="73" t="s">
        <v>161</v>
      </c>
      <c r="C27" s="74" t="s">
        <v>153</v>
      </c>
      <c r="D27" s="75" t="s">
        <v>148</v>
      </c>
    </row>
    <row r="28" spans="1:4" x14ac:dyDescent="0.2">
      <c r="A28" s="89" t="s">
        <v>160</v>
      </c>
      <c r="B28" s="89">
        <v>3</v>
      </c>
      <c r="C28" s="90">
        <v>1</v>
      </c>
      <c r="D28" s="74">
        <f>B28*C28</f>
        <v>3</v>
      </c>
    </row>
    <row r="29" spans="1:4" x14ac:dyDescent="0.2">
      <c r="A29" s="144" t="s">
        <v>150</v>
      </c>
      <c r="B29" s="145"/>
      <c r="C29" s="145"/>
      <c r="D29" s="79">
        <f>D28</f>
        <v>3</v>
      </c>
    </row>
    <row r="30" spans="1:4" x14ac:dyDescent="0.2">
      <c r="A30" s="128"/>
      <c r="B30" s="128"/>
      <c r="C30" s="128"/>
      <c r="D30" s="128"/>
    </row>
    <row r="31" spans="1:4" x14ac:dyDescent="0.2">
      <c r="A31" s="70">
        <f>'BM 3º MEDIÇÃO 01-02 A 28-02-26'!B25</f>
        <v>210000</v>
      </c>
      <c r="B31" s="139" t="str">
        <f>'BM 3º MEDIÇÃO 01-02 A 28-02-26'!D25</f>
        <v>BOTA FORA EM CACAMBA 5M3 48 HORAS</v>
      </c>
      <c r="C31" s="140"/>
      <c r="D31" s="71" t="s">
        <v>163</v>
      </c>
    </row>
    <row r="32" spans="1:4" x14ac:dyDescent="0.2">
      <c r="A32" s="72" t="s">
        <v>145</v>
      </c>
      <c r="B32" s="73" t="s">
        <v>161</v>
      </c>
      <c r="C32" s="74" t="s">
        <v>153</v>
      </c>
      <c r="D32" s="75" t="s">
        <v>148</v>
      </c>
    </row>
    <row r="33" spans="1:4" x14ac:dyDescent="0.2">
      <c r="A33" s="76" t="s">
        <v>164</v>
      </c>
      <c r="B33" s="76">
        <v>1</v>
      </c>
      <c r="C33" s="74">
        <v>1</v>
      </c>
      <c r="D33" s="74">
        <f t="shared" ref="D33:D39" si="0">B33*C33</f>
        <v>1</v>
      </c>
    </row>
    <row r="34" spans="1:4" x14ac:dyDescent="0.2">
      <c r="A34" s="80" t="s">
        <v>165</v>
      </c>
      <c r="B34" s="76">
        <v>1</v>
      </c>
      <c r="C34" s="74">
        <v>1</v>
      </c>
      <c r="D34" s="74">
        <f t="shared" si="0"/>
        <v>1</v>
      </c>
    </row>
    <row r="35" spans="1:4" x14ac:dyDescent="0.2">
      <c r="A35" s="80" t="s">
        <v>166</v>
      </c>
      <c r="B35" s="76">
        <v>1</v>
      </c>
      <c r="C35" s="74">
        <v>1</v>
      </c>
      <c r="D35" s="74">
        <f t="shared" si="0"/>
        <v>1</v>
      </c>
    </row>
    <row r="36" spans="1:4" x14ac:dyDescent="0.2">
      <c r="A36" s="80" t="s">
        <v>167</v>
      </c>
      <c r="B36" s="76">
        <v>1</v>
      </c>
      <c r="C36" s="74">
        <v>1</v>
      </c>
      <c r="D36" s="74">
        <f t="shared" si="0"/>
        <v>1</v>
      </c>
    </row>
    <row r="37" spans="1:4" x14ac:dyDescent="0.2">
      <c r="A37" s="80" t="s">
        <v>168</v>
      </c>
      <c r="B37" s="76">
        <v>1</v>
      </c>
      <c r="C37" s="74">
        <v>1</v>
      </c>
      <c r="D37" s="74">
        <f t="shared" si="0"/>
        <v>1</v>
      </c>
    </row>
    <row r="38" spans="1:4" x14ac:dyDescent="0.2">
      <c r="A38" s="80" t="s">
        <v>169</v>
      </c>
      <c r="B38" s="76">
        <v>1</v>
      </c>
      <c r="C38" s="74">
        <v>1</v>
      </c>
      <c r="D38" s="74">
        <f t="shared" si="0"/>
        <v>1</v>
      </c>
    </row>
    <row r="39" spans="1:4" x14ac:dyDescent="0.2">
      <c r="A39" s="80" t="s">
        <v>170</v>
      </c>
      <c r="B39" s="76">
        <v>1</v>
      </c>
      <c r="C39" s="74">
        <v>1</v>
      </c>
      <c r="D39" s="74">
        <f t="shared" si="0"/>
        <v>1</v>
      </c>
    </row>
    <row r="40" spans="1:4" x14ac:dyDescent="0.2">
      <c r="A40" s="141" t="s">
        <v>157</v>
      </c>
      <c r="B40" s="129"/>
      <c r="C40" s="129"/>
      <c r="D40" s="79">
        <f>SUM(D33:D39)</f>
        <v>7</v>
      </c>
    </row>
    <row r="41" spans="1:4" ht="13.9" customHeight="1" x14ac:dyDescent="0.2">
      <c r="A41" s="128"/>
      <c r="B41" s="128"/>
      <c r="C41" s="128"/>
      <c r="D41" s="128"/>
    </row>
    <row r="42" spans="1:4" ht="40.15" customHeight="1" x14ac:dyDescent="0.2">
      <c r="A42" s="70">
        <f>'BM 3º MEDIÇÃO 01-02 A 28-02-26'!B28</f>
        <v>104790</v>
      </c>
      <c r="B42" s="139" t="str">
        <f>'BM 3º MEDIÇÃO 01-02 A 28-02-26'!D28</f>
        <v>DEMOLIÇÃO DE PISO DE CONCRETO SIMPLES, DE FORMA MECANIZADA COM MARTELETE, SEM REAPROVEITAMENTO. AF_09/2023</v>
      </c>
      <c r="C42" s="140"/>
      <c r="D42" s="71" t="s">
        <v>155</v>
      </c>
    </row>
    <row r="43" spans="1:4" x14ac:dyDescent="0.2">
      <c r="A43" s="72" t="s">
        <v>145</v>
      </c>
      <c r="B43" s="73" t="s">
        <v>155</v>
      </c>
      <c r="C43" s="74" t="s">
        <v>153</v>
      </c>
      <c r="D43" s="75" t="s">
        <v>148</v>
      </c>
    </row>
    <row r="44" spans="1:4" x14ac:dyDescent="0.2">
      <c r="A44" s="76" t="s">
        <v>164</v>
      </c>
      <c r="B44" s="76">
        <v>5</v>
      </c>
      <c r="C44" s="74">
        <v>1</v>
      </c>
      <c r="D44" s="74">
        <f t="shared" ref="D44:D50" si="1">B44*C44</f>
        <v>5</v>
      </c>
    </row>
    <row r="45" spans="1:4" x14ac:dyDescent="0.2">
      <c r="A45" s="80" t="s">
        <v>165</v>
      </c>
      <c r="B45" s="76">
        <v>5</v>
      </c>
      <c r="C45" s="74">
        <v>1</v>
      </c>
      <c r="D45" s="74">
        <f t="shared" si="1"/>
        <v>5</v>
      </c>
    </row>
    <row r="46" spans="1:4" x14ac:dyDescent="0.2">
      <c r="A46" s="80" t="s">
        <v>166</v>
      </c>
      <c r="B46" s="76">
        <v>5</v>
      </c>
      <c r="C46" s="74">
        <v>1</v>
      </c>
      <c r="D46" s="74">
        <f t="shared" si="1"/>
        <v>5</v>
      </c>
    </row>
    <row r="47" spans="1:4" x14ac:dyDescent="0.2">
      <c r="A47" s="80" t="s">
        <v>167</v>
      </c>
      <c r="B47" s="76">
        <v>5</v>
      </c>
      <c r="C47" s="74">
        <v>1</v>
      </c>
      <c r="D47" s="74">
        <f t="shared" si="1"/>
        <v>5</v>
      </c>
    </row>
    <row r="48" spans="1:4" x14ac:dyDescent="0.2">
      <c r="A48" s="80" t="s">
        <v>168</v>
      </c>
      <c r="B48" s="76">
        <v>5</v>
      </c>
      <c r="C48" s="74">
        <v>1</v>
      </c>
      <c r="D48" s="74">
        <f t="shared" si="1"/>
        <v>5</v>
      </c>
    </row>
    <row r="49" spans="1:6" x14ac:dyDescent="0.2">
      <c r="A49" s="80" t="s">
        <v>169</v>
      </c>
      <c r="B49" s="76">
        <v>5</v>
      </c>
      <c r="C49" s="74">
        <v>1</v>
      </c>
      <c r="D49" s="74">
        <f t="shared" si="1"/>
        <v>5</v>
      </c>
    </row>
    <row r="50" spans="1:6" x14ac:dyDescent="0.2">
      <c r="A50" s="80" t="s">
        <v>170</v>
      </c>
      <c r="B50" s="76">
        <v>5</v>
      </c>
      <c r="C50" s="74">
        <v>1</v>
      </c>
      <c r="D50" s="74">
        <f t="shared" si="1"/>
        <v>5</v>
      </c>
    </row>
    <row r="51" spans="1:6" x14ac:dyDescent="0.2">
      <c r="A51" s="141" t="s">
        <v>156</v>
      </c>
      <c r="B51" s="129"/>
      <c r="C51" s="129"/>
      <c r="D51" s="101">
        <f>SUM(D44:D50)</f>
        <v>35</v>
      </c>
    </row>
    <row r="52" spans="1:6" x14ac:dyDescent="0.2">
      <c r="A52" s="149"/>
      <c r="B52" s="150"/>
      <c r="C52" s="150"/>
      <c r="D52" s="150"/>
      <c r="E52" s="150"/>
      <c r="F52" s="150"/>
    </row>
    <row r="53" spans="1:6" ht="36.6" customHeight="1" x14ac:dyDescent="0.2">
      <c r="A53" s="70">
        <f>'BM 3º MEDIÇÃO 01-02 A 28-02-26'!B30</f>
        <v>94993</v>
      </c>
      <c r="B53" s="139" t="str">
        <f>'BM 3º MEDIÇÃO 01-02 A 28-02-26'!D30</f>
        <v>EXECUÇÃO DE PASSEIO (CALÇADA) OU PISO DE CONCRETO COM CONCRETO MOLDADO IN LOCO, USINADO, ACABAMENTO CONVENCIONAL, ESPESSURA 6 CM, ARMADO. AF_08/2022</v>
      </c>
      <c r="C53" s="147"/>
      <c r="D53" s="140"/>
      <c r="E53" s="71" t="s">
        <v>162</v>
      </c>
    </row>
    <row r="54" spans="1:6" x14ac:dyDescent="0.2">
      <c r="A54" s="72" t="s">
        <v>145</v>
      </c>
      <c r="B54" s="73" t="s">
        <v>151</v>
      </c>
      <c r="C54" s="82" t="s">
        <v>152</v>
      </c>
      <c r="D54" s="75" t="s">
        <v>153</v>
      </c>
      <c r="E54" s="75" t="s">
        <v>148</v>
      </c>
    </row>
    <row r="55" spans="1:6" x14ac:dyDescent="0.2">
      <c r="A55" s="80" t="s">
        <v>171</v>
      </c>
      <c r="B55" s="81">
        <v>1</v>
      </c>
      <c r="C55" s="88">
        <v>369.45</v>
      </c>
      <c r="D55" s="74">
        <v>1</v>
      </c>
      <c r="E55" s="74">
        <f>B55*C55*D55</f>
        <v>369.45</v>
      </c>
    </row>
    <row r="56" spans="1:6" x14ac:dyDescent="0.2">
      <c r="A56" s="80" t="s">
        <v>172</v>
      </c>
      <c r="B56" s="81">
        <v>3.9</v>
      </c>
      <c r="C56" s="88">
        <v>17.3</v>
      </c>
      <c r="D56" s="74">
        <v>1</v>
      </c>
      <c r="E56" s="74">
        <f>B56*C56*D56</f>
        <v>67.47</v>
      </c>
    </row>
    <row r="57" spans="1:6" x14ac:dyDescent="0.2">
      <c r="A57" s="80" t="s">
        <v>173</v>
      </c>
      <c r="B57" s="81">
        <v>4.7699999999999996</v>
      </c>
      <c r="C57" s="88">
        <v>10.46</v>
      </c>
      <c r="D57" s="74">
        <v>1</v>
      </c>
      <c r="E57" s="74">
        <f>B57*C57*D57</f>
        <v>49.894199999999998</v>
      </c>
    </row>
    <row r="58" spans="1:6" x14ac:dyDescent="0.2">
      <c r="A58" s="80" t="s">
        <v>174</v>
      </c>
      <c r="B58" s="76">
        <v>14.1</v>
      </c>
      <c r="C58" s="92">
        <v>10.8</v>
      </c>
      <c r="D58" s="74">
        <v>1</v>
      </c>
      <c r="E58" s="74">
        <f>B58*C58*D58</f>
        <v>152.28</v>
      </c>
    </row>
    <row r="59" spans="1:6" x14ac:dyDescent="0.2">
      <c r="A59" s="141" t="s">
        <v>154</v>
      </c>
      <c r="B59" s="129"/>
      <c r="C59" s="148"/>
      <c r="D59" s="129"/>
      <c r="E59" s="101">
        <f>SUM(E55:E58)</f>
        <v>639.0942</v>
      </c>
    </row>
    <row r="60" spans="1:6" x14ac:dyDescent="0.2">
      <c r="A60" s="78"/>
      <c r="B60" s="78"/>
      <c r="C60" s="78"/>
      <c r="D60" s="91"/>
    </row>
    <row r="61" spans="1:6" ht="37.9" customHeight="1" x14ac:dyDescent="0.2">
      <c r="A61" s="70">
        <f>'BM 3º MEDIÇÃO 01-02 A 28-02-26'!B32</f>
        <v>98567</v>
      </c>
      <c r="B61" s="139" t="str">
        <f>'BM 3º MEDIÇÃO 01-02 A 28-02-26'!D32</f>
        <v>PROTEÇÃO MECÂNICA DE SUPERFICIE HORIZONTAL COM ARGAMASSA DE CIMENTO E AREIA, TRAÇO 1:3, E=4CM. AF_09/2023</v>
      </c>
      <c r="C61" s="147"/>
      <c r="D61" s="140"/>
      <c r="E61" s="71" t="s">
        <v>162</v>
      </c>
    </row>
    <row r="62" spans="1:6" x14ac:dyDescent="0.2">
      <c r="A62" s="72" t="s">
        <v>145</v>
      </c>
      <c r="B62" s="73" t="s">
        <v>151</v>
      </c>
      <c r="C62" s="82" t="s">
        <v>152</v>
      </c>
      <c r="D62" s="75" t="s">
        <v>153</v>
      </c>
      <c r="E62" s="75" t="s">
        <v>148</v>
      </c>
    </row>
    <row r="63" spans="1:6" x14ac:dyDescent="0.2">
      <c r="A63" s="93" t="s">
        <v>175</v>
      </c>
      <c r="B63" s="94">
        <v>1</v>
      </c>
      <c r="C63" s="92">
        <v>67.42</v>
      </c>
      <c r="D63" s="90">
        <v>1</v>
      </c>
      <c r="E63" s="74">
        <f>B63*C63*D63</f>
        <v>67.42</v>
      </c>
    </row>
    <row r="64" spans="1:6" x14ac:dyDescent="0.2">
      <c r="A64" s="151" t="s">
        <v>154</v>
      </c>
      <c r="B64" s="148"/>
      <c r="C64" s="148"/>
      <c r="D64" s="148"/>
      <c r="E64" s="101">
        <f>SUM(E63:E63)</f>
        <v>67.42</v>
      </c>
    </row>
    <row r="65" spans="1:11" x14ac:dyDescent="0.2">
      <c r="A65" s="95"/>
      <c r="B65" s="96"/>
      <c r="C65" s="96"/>
      <c r="D65" s="96"/>
      <c r="E65" s="97"/>
    </row>
    <row r="66" spans="1:11" ht="46.9" customHeight="1" x14ac:dyDescent="0.2">
      <c r="A66" s="70">
        <f>'BM 3º MEDIÇÃO 01-02 A 28-02-26'!B33</f>
        <v>94275</v>
      </c>
      <c r="B66" s="152" t="str">
        <f>'BM 3º MEDIÇÃO 01-02 A 28-02-26'!D33</f>
        <v>ASSENTAMENTO DE GUIA (MEIO-FIO) EM TRECHO RETO, CONFECCIONADA EM CONCRETO PRÉ-FABRICADO, DIMENSÕES 100X15X13X20 CM (COMPRIMENTO X BASE INFERIOR X BASE SUPERIOR X ALTURA). AF_01/2024</v>
      </c>
      <c r="C66" s="153"/>
      <c r="D66" s="71" t="s">
        <v>176</v>
      </c>
    </row>
    <row r="67" spans="1:11" x14ac:dyDescent="0.2">
      <c r="A67" s="72" t="s">
        <v>145</v>
      </c>
      <c r="B67" s="82" t="s">
        <v>152</v>
      </c>
      <c r="C67" s="75" t="s">
        <v>153</v>
      </c>
      <c r="D67" s="75" t="s">
        <v>148</v>
      </c>
    </row>
    <row r="68" spans="1:11" x14ac:dyDescent="0.2">
      <c r="A68" s="80" t="s">
        <v>177</v>
      </c>
      <c r="B68" s="88">
        <v>9.74</v>
      </c>
      <c r="C68" s="74">
        <v>1</v>
      </c>
      <c r="D68" s="74">
        <f>B68*C68</f>
        <v>9.74</v>
      </c>
    </row>
    <row r="69" spans="1:11" x14ac:dyDescent="0.2">
      <c r="A69" s="93" t="s">
        <v>178</v>
      </c>
      <c r="B69" s="92">
        <v>9</v>
      </c>
      <c r="C69" s="92">
        <v>1</v>
      </c>
      <c r="D69" s="74">
        <f>B69*C69</f>
        <v>9</v>
      </c>
    </row>
    <row r="70" spans="1:11" x14ac:dyDescent="0.2">
      <c r="A70" s="141" t="s">
        <v>159</v>
      </c>
      <c r="B70" s="148"/>
      <c r="C70" s="148"/>
      <c r="D70" s="101">
        <f>SUM(D68:D69)</f>
        <v>18.740000000000002</v>
      </c>
    </row>
    <row r="71" spans="1:11" x14ac:dyDescent="0.2">
      <c r="A71" s="149"/>
      <c r="B71" s="150"/>
      <c r="C71" s="150"/>
      <c r="D71" s="150"/>
      <c r="E71" s="150"/>
      <c r="F71" s="150"/>
    </row>
    <row r="72" spans="1:11" ht="32.450000000000003" customHeight="1" x14ac:dyDescent="0.2">
      <c r="A72" s="70">
        <f>'BM 3º MEDIÇÃO 01-02 A 28-02-26'!B34</f>
        <v>102491</v>
      </c>
      <c r="B72" s="139" t="str">
        <f>'BM 3º MEDIÇÃO 01-02 A 28-02-26'!D34</f>
        <v>PINTURA DE PISO COM TINTA ACRÍLICA, APLICAÇÃO MANUAL, 2 DEMÃOS, INCLUSO FUNDO PREPARADOR. AF_05/2021</v>
      </c>
      <c r="C72" s="147"/>
      <c r="D72" s="140"/>
      <c r="E72" s="71" t="s">
        <v>162</v>
      </c>
    </row>
    <row r="73" spans="1:11" x14ac:dyDescent="0.2">
      <c r="A73" s="72" t="s">
        <v>145</v>
      </c>
      <c r="B73" s="73" t="s">
        <v>151</v>
      </c>
      <c r="C73" s="82" t="s">
        <v>152</v>
      </c>
      <c r="D73" s="75" t="s">
        <v>153</v>
      </c>
      <c r="E73" s="75" t="s">
        <v>148</v>
      </c>
    </row>
    <row r="74" spans="1:11" x14ac:dyDescent="0.2">
      <c r="A74" s="80" t="s">
        <v>171</v>
      </c>
      <c r="B74" s="94">
        <v>1</v>
      </c>
      <c r="C74" s="92">
        <v>369.45</v>
      </c>
      <c r="D74" s="74">
        <v>1</v>
      </c>
      <c r="E74" s="74">
        <f>B74*C74*D74</f>
        <v>369.45</v>
      </c>
    </row>
    <row r="75" spans="1:11" x14ac:dyDescent="0.2">
      <c r="A75" s="141" t="s">
        <v>154</v>
      </c>
      <c r="B75" s="148"/>
      <c r="C75" s="148"/>
      <c r="D75" s="129"/>
      <c r="E75" s="101">
        <f>SUM(E74:E74)</f>
        <v>369.45</v>
      </c>
    </row>
    <row r="76" spans="1:11" x14ac:dyDescent="0.2">
      <c r="A76" s="95"/>
      <c r="B76" s="96"/>
      <c r="C76" s="96"/>
      <c r="D76" s="96"/>
      <c r="E76" s="97"/>
    </row>
    <row r="77" spans="1:11" x14ac:dyDescent="0.2">
      <c r="A77" s="149"/>
      <c r="B77" s="150"/>
      <c r="C77" s="150"/>
      <c r="D77" s="150"/>
      <c r="E77" s="150"/>
      <c r="F77" s="150"/>
    </row>
    <row r="78" spans="1:11" ht="23.45" customHeight="1" x14ac:dyDescent="0.2">
      <c r="A78" s="100">
        <f>'BM 3º MEDIÇÃO 01-02 A 28-02-26'!B35</f>
        <v>98549</v>
      </c>
      <c r="B78" s="143" t="str">
        <f>'BM 3º MEDIÇÃO 01-02 A 28-02-26'!D35</f>
        <v>IMPERMEABILIZAÇÃO COM MANTA ASFÁLTICA COLADA COM ASFALTO DERRETIDO, DUAS CAMADAS, E = 3MM E E=4MM. AF_09/2023</v>
      </c>
      <c r="C78" s="143"/>
      <c r="D78" s="143"/>
      <c r="E78" s="143"/>
      <c r="F78" s="143"/>
      <c r="G78" s="143"/>
      <c r="H78" s="143"/>
      <c r="I78" s="143"/>
      <c r="J78" s="143"/>
      <c r="K78" s="71" t="s">
        <v>162</v>
      </c>
    </row>
    <row r="79" spans="1:11" x14ac:dyDescent="0.2">
      <c r="A79" s="99" t="s">
        <v>145</v>
      </c>
      <c r="B79" s="73" t="s">
        <v>179</v>
      </c>
      <c r="C79" s="82" t="s">
        <v>180</v>
      </c>
      <c r="D79" s="82" t="s">
        <v>181</v>
      </c>
      <c r="E79" s="82" t="s">
        <v>182</v>
      </c>
      <c r="F79" s="82" t="s">
        <v>183</v>
      </c>
      <c r="G79" s="82" t="s">
        <v>184</v>
      </c>
      <c r="H79" s="82" t="s">
        <v>185</v>
      </c>
      <c r="I79" s="82" t="s">
        <v>152</v>
      </c>
      <c r="J79" s="82" t="s">
        <v>153</v>
      </c>
      <c r="K79" s="75" t="s">
        <v>148</v>
      </c>
    </row>
    <row r="80" spans="1:11" x14ac:dyDescent="0.2">
      <c r="A80" s="80" t="s">
        <v>186</v>
      </c>
      <c r="B80" s="81">
        <v>0.2</v>
      </c>
      <c r="C80" s="88">
        <v>0.3</v>
      </c>
      <c r="D80" s="88">
        <v>0.3</v>
      </c>
      <c r="E80" s="88">
        <v>0.4</v>
      </c>
      <c r="F80" s="88">
        <v>0.1</v>
      </c>
      <c r="G80" s="88">
        <v>0.4</v>
      </c>
      <c r="H80" s="88">
        <v>0.1</v>
      </c>
      <c r="I80" s="88">
        <v>28.8</v>
      </c>
      <c r="J80" s="88">
        <v>1</v>
      </c>
      <c r="K80" s="74">
        <f>(B80+C80+D80+E80+F80+G80+H80)*(I80)*(J80)</f>
        <v>51.840000000000011</v>
      </c>
    </row>
    <row r="81" spans="1:11" x14ac:dyDescent="0.2">
      <c r="A81" s="98" t="s">
        <v>187</v>
      </c>
      <c r="B81" s="94">
        <v>0.2</v>
      </c>
      <c r="C81" s="92">
        <v>0.3</v>
      </c>
      <c r="D81" s="92">
        <v>0.3</v>
      </c>
      <c r="E81" s="92">
        <v>0.4</v>
      </c>
      <c r="F81" s="92">
        <v>0.1</v>
      </c>
      <c r="G81" s="92">
        <v>0.4</v>
      </c>
      <c r="H81" s="92">
        <v>0.1</v>
      </c>
      <c r="I81" s="92">
        <v>12.7</v>
      </c>
      <c r="J81" s="92">
        <v>1</v>
      </c>
      <c r="K81" s="90">
        <f>(B81+C81+D81+E81+F81+G81+H81)*(I81)*(J81)</f>
        <v>22.860000000000003</v>
      </c>
    </row>
    <row r="82" spans="1:11" x14ac:dyDescent="0.2">
      <c r="A82" s="151" t="s">
        <v>154</v>
      </c>
      <c r="B82" s="148"/>
      <c r="C82" s="148"/>
      <c r="D82" s="148"/>
      <c r="E82" s="148"/>
      <c r="F82" s="148"/>
      <c r="G82" s="148"/>
      <c r="H82" s="148"/>
      <c r="I82" s="148"/>
      <c r="J82" s="148"/>
      <c r="K82" s="79">
        <f>SUM(K80:K81)</f>
        <v>74.700000000000017</v>
      </c>
    </row>
    <row r="83" spans="1:11" ht="27.6" customHeight="1" x14ac:dyDescent="0.2">
      <c r="A83" s="70">
        <f>'BM 3º MEDIÇÃO 01-02 A 28-02-26'!B40</f>
        <v>12618</v>
      </c>
      <c r="B83" s="152" t="str">
        <f>'BM 3º MEDIÇÃO 01-02 A 28-02-26'!D40</f>
        <v>CALHA / PERFIL PLUVIAL DE PVC, DIAMETRO ENTRE *119 E 170* MM, COMPRIMENTO DE 3 M, PARA DRENAGEM PLUVIAL PREDIAL</v>
      </c>
      <c r="C83" s="153"/>
      <c r="D83" s="71" t="s">
        <v>163</v>
      </c>
      <c r="E83" s="96"/>
      <c r="F83" s="96"/>
      <c r="G83" s="96"/>
      <c r="H83" s="96"/>
      <c r="I83" s="96"/>
      <c r="J83" s="96"/>
      <c r="K83" s="96"/>
    </row>
    <row r="84" spans="1:11" x14ac:dyDescent="0.2">
      <c r="A84" s="72" t="s">
        <v>145</v>
      </c>
      <c r="B84" s="73" t="s">
        <v>161</v>
      </c>
      <c r="C84" s="74" t="s">
        <v>153</v>
      </c>
      <c r="D84" s="75" t="s">
        <v>148</v>
      </c>
      <c r="E84" s="96"/>
      <c r="F84" s="96"/>
      <c r="G84" s="96"/>
      <c r="H84" s="96"/>
      <c r="I84" s="96"/>
      <c r="J84" s="96"/>
      <c r="K84" s="96"/>
    </row>
    <row r="85" spans="1:11" x14ac:dyDescent="0.2">
      <c r="A85" s="80" t="s">
        <v>188</v>
      </c>
      <c r="B85" s="81">
        <v>25</v>
      </c>
      <c r="C85" s="74">
        <v>1</v>
      </c>
      <c r="D85" s="74">
        <f>B85*C85</f>
        <v>25</v>
      </c>
      <c r="E85" s="96"/>
      <c r="F85" s="96"/>
      <c r="G85" s="96"/>
      <c r="H85" s="96"/>
      <c r="I85" s="96"/>
      <c r="J85" s="96"/>
      <c r="K85" s="96"/>
    </row>
    <row r="86" spans="1:11" x14ac:dyDescent="0.2">
      <c r="A86" s="141" t="s">
        <v>157</v>
      </c>
      <c r="B86" s="129"/>
      <c r="C86" s="129"/>
      <c r="D86" s="79">
        <f>D85</f>
        <v>25</v>
      </c>
      <c r="E86" s="96"/>
      <c r="F86" s="96"/>
      <c r="G86" s="96"/>
      <c r="H86" s="96"/>
      <c r="I86" s="96"/>
      <c r="J86" s="96"/>
      <c r="K86" s="96"/>
    </row>
    <row r="87" spans="1:11" x14ac:dyDescent="0.2">
      <c r="A87" s="154"/>
      <c r="B87" s="128"/>
      <c r="C87" s="128"/>
      <c r="D87" s="128"/>
      <c r="E87" s="96"/>
      <c r="F87" s="96"/>
      <c r="G87" s="96"/>
      <c r="H87" s="96"/>
      <c r="I87" s="96"/>
      <c r="J87" s="96"/>
      <c r="K87" s="96"/>
    </row>
    <row r="88" spans="1:11" ht="24.6" customHeight="1" x14ac:dyDescent="0.2">
      <c r="A88" s="70">
        <f>'BM 3º MEDIÇÃO 01-02 A 28-02-26'!B41</f>
        <v>13115</v>
      </c>
      <c r="B88" s="152" t="str">
        <f>'BM 3º MEDIÇÃO 01-02 A 28-02-26'!D41</f>
        <v>CALHA/CANALETA DE CONCRETO SIMPLES, TIPO MEIA CANA, DIAMETRO DE 20 CM, PARA AGUA PLUVIAL</v>
      </c>
      <c r="C88" s="153"/>
      <c r="D88" s="71" t="s">
        <v>176</v>
      </c>
      <c r="E88" s="96"/>
      <c r="F88" s="96"/>
      <c r="G88" s="96"/>
      <c r="H88" s="96"/>
      <c r="I88" s="96"/>
      <c r="J88" s="96"/>
      <c r="K88" s="96"/>
    </row>
    <row r="89" spans="1:11" x14ac:dyDescent="0.2">
      <c r="A89" s="72" t="s">
        <v>145</v>
      </c>
      <c r="B89" s="73" t="s">
        <v>161</v>
      </c>
      <c r="C89" s="74" t="s">
        <v>153</v>
      </c>
      <c r="D89" s="75" t="s">
        <v>148</v>
      </c>
      <c r="E89" s="96"/>
      <c r="F89" s="96"/>
      <c r="G89" s="96"/>
      <c r="H89" s="96"/>
      <c r="I89" s="96"/>
      <c r="J89" s="96"/>
      <c r="K89" s="96"/>
    </row>
    <row r="90" spans="1:11" x14ac:dyDescent="0.2">
      <c r="A90" s="80" t="s">
        <v>188</v>
      </c>
      <c r="B90" s="81">
        <v>20.37</v>
      </c>
      <c r="C90" s="74">
        <v>1</v>
      </c>
      <c r="D90" s="74">
        <f>B90*C90</f>
        <v>20.37</v>
      </c>
      <c r="E90" s="96"/>
      <c r="F90" s="96"/>
      <c r="G90" s="96"/>
      <c r="H90" s="96"/>
      <c r="I90" s="96"/>
      <c r="J90" s="96"/>
      <c r="K90" s="96"/>
    </row>
    <row r="91" spans="1:11" x14ac:dyDescent="0.2">
      <c r="A91" s="141" t="s">
        <v>159</v>
      </c>
      <c r="B91" s="129"/>
      <c r="C91" s="129"/>
      <c r="D91" s="79">
        <f>D90</f>
        <v>20.37</v>
      </c>
      <c r="E91" s="96"/>
      <c r="F91" s="96"/>
      <c r="G91" s="96"/>
      <c r="H91" s="96"/>
      <c r="I91" s="96"/>
      <c r="J91" s="96"/>
      <c r="K91" s="96"/>
    </row>
    <row r="92" spans="1:11" x14ac:dyDescent="0.2">
      <c r="A92" s="155"/>
      <c r="B92" s="155"/>
      <c r="C92" s="155"/>
      <c r="D92" s="155"/>
      <c r="E92" s="155"/>
      <c r="F92" s="96"/>
      <c r="G92" s="96"/>
      <c r="H92" s="96"/>
      <c r="I92" s="96"/>
      <c r="J92" s="96"/>
      <c r="K92" s="96"/>
    </row>
    <row r="93" spans="1:11" x14ac:dyDescent="0.2">
      <c r="A93" s="70">
        <f>'BM 3º MEDIÇÃO 01-02 A 28-02-26'!B43</f>
        <v>102488</v>
      </c>
      <c r="B93" s="139" t="str">
        <f>'BM 3º MEDIÇÃO 01-02 A 28-02-26'!D43</f>
        <v>PREPARO DO PISO CIMENTADO PARA PINTURA - LIXAMENTO E LIMPEZA. AF_05/2021</v>
      </c>
      <c r="C93" s="147"/>
      <c r="D93" s="140"/>
      <c r="E93" s="71" t="s">
        <v>162</v>
      </c>
      <c r="F93" s="96"/>
      <c r="G93" s="96"/>
      <c r="H93" s="96"/>
      <c r="I93" s="96"/>
      <c r="J93" s="96"/>
      <c r="K93" s="96"/>
    </row>
    <row r="94" spans="1:11" x14ac:dyDescent="0.2">
      <c r="A94" s="72" t="s">
        <v>145</v>
      </c>
      <c r="B94" s="73" t="s">
        <v>151</v>
      </c>
      <c r="C94" s="82" t="s">
        <v>152</v>
      </c>
      <c r="D94" s="75" t="s">
        <v>153</v>
      </c>
      <c r="E94" s="75" t="s">
        <v>148</v>
      </c>
      <c r="F94" s="96"/>
      <c r="G94" s="96"/>
      <c r="H94" s="96"/>
      <c r="I94" s="96"/>
      <c r="J94" s="96"/>
      <c r="K94" s="96"/>
    </row>
    <row r="95" spans="1:11" x14ac:dyDescent="0.2">
      <c r="A95" s="80" t="s">
        <v>171</v>
      </c>
      <c r="B95" s="94">
        <v>1</v>
      </c>
      <c r="C95" s="92">
        <v>369.45</v>
      </c>
      <c r="D95" s="74">
        <v>1</v>
      </c>
      <c r="E95" s="74">
        <f>B95*C95*D95</f>
        <v>369.45</v>
      </c>
      <c r="F95" s="96"/>
      <c r="G95" s="96"/>
      <c r="H95" s="96"/>
      <c r="I95" s="96"/>
      <c r="J95" s="96"/>
      <c r="K95" s="96"/>
    </row>
    <row r="96" spans="1:11" x14ac:dyDescent="0.2">
      <c r="A96" s="141" t="s">
        <v>154</v>
      </c>
      <c r="B96" s="148"/>
      <c r="C96" s="148"/>
      <c r="D96" s="129"/>
      <c r="E96" s="79">
        <f>SUM(E95:E95)</f>
        <v>369.45</v>
      </c>
      <c r="F96" s="96"/>
      <c r="G96" s="96"/>
      <c r="H96" s="96"/>
      <c r="I96" s="96"/>
      <c r="J96" s="96"/>
      <c r="K96" s="96"/>
    </row>
    <row r="97" spans="1:11" x14ac:dyDescent="0.2">
      <c r="A97" s="146"/>
      <c r="B97" s="146"/>
      <c r="C97" s="146"/>
      <c r="D97" s="146"/>
      <c r="E97" s="146"/>
      <c r="F97" s="96"/>
      <c r="G97" s="96"/>
      <c r="H97" s="96"/>
      <c r="I97" s="96"/>
      <c r="J97" s="96"/>
      <c r="K97" s="96"/>
    </row>
    <row r="98" spans="1:11" ht="30.6" customHeight="1" x14ac:dyDescent="0.2">
      <c r="A98" s="70">
        <f>'BM 3º MEDIÇÃO 01-02 A 28-02-26'!B45</f>
        <v>93565</v>
      </c>
      <c r="B98" s="139" t="str">
        <f>'BM 3º MEDIÇÃO 01-02 A 28-02-26'!D45</f>
        <v>ENGENHEIRO CIVIL DE OBRA JUNIOR COM ENCARGOS COMPLEMENTARES</v>
      </c>
      <c r="C98" s="140"/>
      <c r="D98" s="71" t="s">
        <v>144</v>
      </c>
    </row>
    <row r="99" spans="1:11" x14ac:dyDescent="0.2">
      <c r="A99" s="72" t="s">
        <v>145</v>
      </c>
      <c r="B99" s="73" t="s">
        <v>146</v>
      </c>
      <c r="C99" s="74" t="s">
        <v>147</v>
      </c>
      <c r="D99" s="75" t="s">
        <v>148</v>
      </c>
    </row>
    <row r="100" spans="1:11" x14ac:dyDescent="0.2">
      <c r="A100" s="102" t="s">
        <v>126</v>
      </c>
      <c r="B100" s="76">
        <v>0.4</v>
      </c>
      <c r="C100" s="74">
        <v>1</v>
      </c>
      <c r="D100" s="74">
        <f>B100*C100</f>
        <v>0.4</v>
      </c>
    </row>
    <row r="101" spans="1:11" x14ac:dyDescent="0.2">
      <c r="A101" s="141" t="s">
        <v>150</v>
      </c>
      <c r="B101" s="129"/>
      <c r="C101" s="129"/>
      <c r="D101" s="79">
        <f>SUM(D100:D100)</f>
        <v>0.4</v>
      </c>
    </row>
    <row r="103" spans="1:11" x14ac:dyDescent="0.2">
      <c r="A103" s="70">
        <f>'BM 3º MEDIÇÃO 01-02 A 28-02-26'!B46</f>
        <v>94295</v>
      </c>
      <c r="B103" s="139" t="str">
        <f>'BM 3º MEDIÇÃO 01-02 A 28-02-26'!D46</f>
        <v>MESTRE DE OBRAS COM ENCARGOS COMPLEMENTARES</v>
      </c>
      <c r="C103" s="140"/>
      <c r="D103" s="71" t="s">
        <v>144</v>
      </c>
    </row>
    <row r="104" spans="1:11" x14ac:dyDescent="0.2">
      <c r="A104" s="72" t="s">
        <v>145</v>
      </c>
      <c r="B104" s="73" t="s">
        <v>146</v>
      </c>
      <c r="C104" s="74" t="s">
        <v>147</v>
      </c>
      <c r="D104" s="75" t="s">
        <v>148</v>
      </c>
    </row>
    <row r="105" spans="1:11" x14ac:dyDescent="0.2">
      <c r="A105" s="102" t="s">
        <v>128</v>
      </c>
      <c r="B105" s="76">
        <v>1.01</v>
      </c>
      <c r="C105" s="74">
        <v>1</v>
      </c>
      <c r="D105" s="74">
        <f>B105*C105</f>
        <v>1.01</v>
      </c>
    </row>
    <row r="106" spans="1:11" x14ac:dyDescent="0.2">
      <c r="A106" s="141" t="s">
        <v>150</v>
      </c>
      <c r="B106" s="129"/>
      <c r="C106" s="129"/>
      <c r="D106" s="79">
        <f>SUM(D105:D105)</f>
        <v>1.01</v>
      </c>
    </row>
    <row r="107" spans="1:11" x14ac:dyDescent="0.2">
      <c r="A107" s="142"/>
      <c r="B107" s="142"/>
      <c r="C107" s="142"/>
      <c r="D107" s="142"/>
    </row>
  </sheetData>
  <mergeCells count="49">
    <mergeCell ref="B88:C88"/>
    <mergeCell ref="A91:C91"/>
    <mergeCell ref="A87:D87"/>
    <mergeCell ref="B93:D93"/>
    <mergeCell ref="A96:D96"/>
    <mergeCell ref="A92:E92"/>
    <mergeCell ref="B78:J78"/>
    <mergeCell ref="A82:J82"/>
    <mergeCell ref="B83:C83"/>
    <mergeCell ref="A86:C86"/>
    <mergeCell ref="B61:D61"/>
    <mergeCell ref="A64:D64"/>
    <mergeCell ref="A77:F77"/>
    <mergeCell ref="B66:C66"/>
    <mergeCell ref="A70:C70"/>
    <mergeCell ref="B72:D72"/>
    <mergeCell ref="A75:D75"/>
    <mergeCell ref="A71:F71"/>
    <mergeCell ref="B42:C42"/>
    <mergeCell ref="A51:C51"/>
    <mergeCell ref="A41:D41"/>
    <mergeCell ref="B53:D53"/>
    <mergeCell ref="A59:D59"/>
    <mergeCell ref="A52:F52"/>
    <mergeCell ref="A106:C106"/>
    <mergeCell ref="A107:D107"/>
    <mergeCell ref="B11:C11"/>
    <mergeCell ref="B14:C14"/>
    <mergeCell ref="B16:C16"/>
    <mergeCell ref="A19:C19"/>
    <mergeCell ref="B21:C21"/>
    <mergeCell ref="A24:C24"/>
    <mergeCell ref="B26:C26"/>
    <mergeCell ref="A29:C29"/>
    <mergeCell ref="B98:C98"/>
    <mergeCell ref="A101:C101"/>
    <mergeCell ref="B103:C103"/>
    <mergeCell ref="A97:E97"/>
    <mergeCell ref="B31:C31"/>
    <mergeCell ref="A40:C40"/>
    <mergeCell ref="A30:D30"/>
    <mergeCell ref="B9:C9"/>
    <mergeCell ref="A10:D10"/>
    <mergeCell ref="A1:D1"/>
    <mergeCell ref="A2:D2"/>
    <mergeCell ref="A3:D3"/>
    <mergeCell ref="A4:D4"/>
    <mergeCell ref="B5:C5"/>
    <mergeCell ref="B6:C6"/>
  </mergeCells>
  <phoneticPr fontId="25" type="noConversion"/>
  <pageMargins left="0.511811024" right="0.511811024" top="0.78740157499999996" bottom="0.78740157499999996" header="0.31496062000000002" footer="0.31496062000000002"/>
  <pageSetup paperSize="9" scale="3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B54B96A9EBBE47BC479647DCB38FA8" ma:contentTypeVersion="16" ma:contentTypeDescription="Crie um novo documento." ma:contentTypeScope="" ma:versionID="840a441948acd3975d1fff91ad41d417">
  <xsd:schema xmlns:xsd="http://www.w3.org/2001/XMLSchema" xmlns:xs="http://www.w3.org/2001/XMLSchema" xmlns:p="http://schemas.microsoft.com/office/2006/metadata/properties" xmlns:ns2="b11eb5c2-f216-426b-b97f-1b2556847d31" xmlns:ns3="5e75ea4f-23af-4a3c-ab4c-fdd2fe916c71" targetNamespace="http://schemas.microsoft.com/office/2006/metadata/properties" ma:root="true" ma:fieldsID="52ac4b16c3229275e11bd95fa2167958" ns2:_="" ns3:_="">
    <xsd:import namespace="b11eb5c2-f216-426b-b97f-1b2556847d31"/>
    <xsd:import namespace="5e75ea4f-23af-4a3c-ab4c-fdd2fe916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eb5c2-f216-426b-b97f-1b2556847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0763be7-2c5e-4ee0-a9d0-09b2389b87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5ea4f-23af-4a3c-ab4c-fdd2fe916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c38b70c-cd02-4198-9c72-ed61757cafb4}" ma:internalName="TaxCatchAll" ma:showField="CatchAllData" ma:web="5e75ea4f-23af-4a3c-ab4c-fdd2fe916c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75ea4f-23af-4a3c-ab4c-fdd2fe916c71" xsi:nil="true"/>
    <lcf76f155ced4ddcb4097134ff3c332f xmlns="b11eb5c2-f216-426b-b97f-1b2556847d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36C568-586F-488B-B83F-DAFA93218A6F}"/>
</file>

<file path=customXml/itemProps2.xml><?xml version="1.0" encoding="utf-8"?>
<ds:datastoreItem xmlns:ds="http://schemas.openxmlformats.org/officeDocument/2006/customXml" ds:itemID="{59E9CD06-ECAA-465E-81E2-AAD8D37D1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967089-87D6-443D-BBB7-B249E6CE4382}">
  <ds:schemaRefs>
    <ds:schemaRef ds:uri="http://schemas.microsoft.com/office/2006/metadata/properties"/>
    <ds:schemaRef ds:uri="http://schemas.microsoft.com/office/infopath/2007/PartnerControls"/>
    <ds:schemaRef ds:uri="5e75ea4f-23af-4a3c-ab4c-fdd2fe916c71"/>
    <ds:schemaRef ds:uri="b11eb5c2-f216-426b-b97f-1b2556847d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BM 3º MEDIÇÃO 01-02 A 28-02-26</vt:lpstr>
      <vt:lpstr>MEMÓRIA 3º MEDIÇÃO</vt:lpstr>
      <vt:lpstr>'BM 3º MEDIÇÃO 01-02 A 28-02-26'!Area_de_impressao</vt:lpstr>
      <vt:lpstr>'MEMÓRIA 3º MEDIÇÃO'!Area_de_impressao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Rodrigues Duarte</dc:creator>
  <cp:lastModifiedBy>Valter Formiga Albuquerque</cp:lastModifiedBy>
  <cp:lastPrinted>2026-05-11T20:40:29Z</cp:lastPrinted>
  <dcterms:created xsi:type="dcterms:W3CDTF">2026-02-03T18:35:23Z</dcterms:created>
  <dcterms:modified xsi:type="dcterms:W3CDTF">2026-05-11T20:41:01Z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0x010100FAB54B96A9EBBE47BC479647DCB38FA8</vt:lpwstr>
  </property>
  <property fmtid="{D5CDD505-2E9C-101B-9397-08002B2CF9AE}" pid="3" name="MediaServiceImageTags">
    <vt:lpwstr/>
  </property>
</Properties>
</file>